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SUARIO\ANSELMO\Recaudacion Federal\PC PACO\Anselmo OK\Presupuesto 2019\Publicacion\"/>
    </mc:Choice>
  </mc:AlternateContent>
  <bookViews>
    <workbookView xWindow="0" yWindow="0" windowWidth="28800" windowHeight="12435"/>
  </bookViews>
  <sheets>
    <sheet name="Calendario" sheetId="16" r:id="rId1"/>
    <sheet name="Consolidado" sheetId="3" r:id="rId2"/>
    <sheet name="FGP" sheetId="4" r:id="rId3"/>
    <sheet name="FFM" sheetId="5" r:id="rId4"/>
    <sheet name="IEPS TyA" sheetId="20" r:id="rId5"/>
    <sheet name="IEPS GyD " sheetId="7" r:id="rId6"/>
    <sheet name="FOFIR" sheetId="8" r:id="rId7"/>
    <sheet name="FOCO ISAN" sheetId="13" r:id="rId8"/>
    <sheet name="Incentivo ISAN" sheetId="14" r:id="rId9"/>
    <sheet name="Predial y Agua" sheetId="1" r:id="rId10"/>
    <sheet name="CENSO" sheetId="11" r:id="rId11"/>
    <sheet name="IEPS 2014 " sheetId="21" r:id="rId12"/>
    <sheet name="Datos" sheetId="15" state="hidden" r:id="rId13"/>
    <sheet name="FGP 60%" sheetId="17" state="hidden" r:id="rId14"/>
    <sheet name="FGP 30%" sheetId="18" state="hidden" r:id="rId15"/>
    <sheet name="FGP 10%" sheetId="19" state="hidden" r:id="rId16"/>
  </sheets>
  <externalReferences>
    <externalReference r:id="rId17"/>
    <externalReference r:id="rId18"/>
  </externalReferences>
  <definedNames>
    <definedName name="_xlnm.Print_Area" localSheetId="12">Datos!$B$4:$M$67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21" l="1"/>
  <c r="M27" i="21"/>
  <c r="L27" i="21"/>
  <c r="K27" i="21"/>
  <c r="J27" i="21"/>
  <c r="I27" i="21"/>
  <c r="H27" i="21"/>
  <c r="G27" i="21"/>
  <c r="F27" i="21"/>
  <c r="E27" i="21"/>
  <c r="D27" i="21"/>
  <c r="C27" i="21"/>
  <c r="B27" i="21"/>
  <c r="O26" i="21"/>
  <c r="O25" i="21"/>
  <c r="O24" i="21"/>
  <c r="O23" i="21"/>
  <c r="O22" i="21"/>
  <c r="O21" i="21"/>
  <c r="O20" i="21"/>
  <c r="O19" i="21"/>
  <c r="O18" i="21"/>
  <c r="O17" i="21"/>
  <c r="O16" i="21"/>
  <c r="O15" i="21"/>
  <c r="O14" i="21"/>
  <c r="O13" i="21"/>
  <c r="O12" i="21"/>
  <c r="O11" i="21"/>
  <c r="O10" i="21"/>
  <c r="O9" i="21"/>
  <c r="O8" i="21"/>
  <c r="O7" i="21"/>
  <c r="O27" i="21" s="1"/>
  <c r="Z11" i="3" l="1"/>
  <c r="Z12" i="3"/>
  <c r="Z13" i="3"/>
  <c r="Z14" i="3"/>
  <c r="Z15" i="3"/>
  <c r="Z16" i="3"/>
  <c r="Z17" i="3"/>
  <c r="Z18" i="3"/>
  <c r="Z19" i="3"/>
  <c r="Z20" i="3"/>
  <c r="Z21" i="3"/>
  <c r="Z22" i="3"/>
  <c r="Z23" i="3"/>
  <c r="Z24" i="3"/>
  <c r="Z25" i="3"/>
  <c r="Z26" i="3"/>
  <c r="Z27" i="3"/>
  <c r="Z28" i="3"/>
  <c r="Z29" i="3"/>
  <c r="Z10" i="3"/>
  <c r="J29" i="8"/>
  <c r="J9" i="8"/>
  <c r="D10" i="8"/>
  <c r="D11" i="8"/>
  <c r="D12" i="8"/>
  <c r="D13" i="8"/>
  <c r="D14" i="8"/>
  <c r="D15" i="8"/>
  <c r="D16" i="8"/>
  <c r="D17" i="8"/>
  <c r="D18" i="8"/>
  <c r="D19" i="8"/>
  <c r="D20" i="8"/>
  <c r="D21" i="8"/>
  <c r="D22" i="8"/>
  <c r="D23" i="8"/>
  <c r="D24" i="8"/>
  <c r="D25" i="8"/>
  <c r="D26" i="8"/>
  <c r="D27" i="8"/>
  <c r="D28" i="8"/>
  <c r="D9" i="8"/>
  <c r="D29" i="8"/>
  <c r="C29" i="4"/>
  <c r="C12" i="4" s="1"/>
  <c r="D30" i="20"/>
  <c r="D11" i="20" s="1"/>
  <c r="C30" i="20"/>
  <c r="I29" i="14"/>
  <c r="F29" i="14"/>
  <c r="D29" i="14"/>
  <c r="I29" i="13"/>
  <c r="F29" i="13"/>
  <c r="D29" i="13"/>
  <c r="C19" i="4" l="1"/>
  <c r="C15" i="4"/>
  <c r="C23" i="4"/>
  <c r="C27" i="4"/>
  <c r="C11" i="4"/>
  <c r="D24" i="20"/>
  <c r="D16" i="20"/>
  <c r="D28" i="20"/>
  <c r="D12" i="20"/>
  <c r="D20" i="20"/>
  <c r="D10" i="20"/>
  <c r="D26" i="20"/>
  <c r="D22" i="20"/>
  <c r="D18" i="20"/>
  <c r="D14" i="20"/>
  <c r="D29" i="20"/>
  <c r="D25" i="20"/>
  <c r="D21" i="20"/>
  <c r="D17" i="20"/>
  <c r="D13" i="20"/>
  <c r="D27" i="20"/>
  <c r="D23" i="20"/>
  <c r="D19" i="20"/>
  <c r="D15" i="20"/>
  <c r="C26" i="4"/>
  <c r="C22" i="4"/>
  <c r="C18" i="4"/>
  <c r="C14" i="4"/>
  <c r="C10" i="4"/>
  <c r="C9" i="4"/>
  <c r="C25" i="4"/>
  <c r="C21" i="4"/>
  <c r="C17" i="4"/>
  <c r="C13" i="4"/>
  <c r="C28" i="4"/>
  <c r="C24" i="4"/>
  <c r="C20" i="4"/>
  <c r="C16" i="4"/>
  <c r="F10" i="17" l="1"/>
  <c r="F11" i="17"/>
  <c r="F12" i="17"/>
  <c r="F13" i="17"/>
  <c r="F14" i="17"/>
  <c r="F15" i="17"/>
  <c r="F16" i="17"/>
  <c r="F17" i="17"/>
  <c r="F18" i="17"/>
  <c r="F19" i="17"/>
  <c r="F20" i="17"/>
  <c r="F21" i="17"/>
  <c r="F22" i="17"/>
  <c r="F23" i="17"/>
  <c r="F24" i="17"/>
  <c r="F25" i="17"/>
  <c r="F26" i="17"/>
  <c r="F27" i="17"/>
  <c r="F28" i="17"/>
  <c r="F9" i="17"/>
  <c r="D29" i="17"/>
  <c r="D10" i="17" s="1"/>
  <c r="D9" i="17" l="1"/>
  <c r="D25" i="17"/>
  <c r="D21" i="17"/>
  <c r="D17" i="17"/>
  <c r="D13" i="17"/>
  <c r="D28" i="17"/>
  <c r="D24" i="17"/>
  <c r="D20" i="17"/>
  <c r="D16" i="17"/>
  <c r="D12" i="17"/>
  <c r="D27" i="17"/>
  <c r="D23" i="17"/>
  <c r="D19" i="17"/>
  <c r="D15" i="17"/>
  <c r="D11" i="17"/>
  <c r="D26" i="17"/>
  <c r="D22" i="17"/>
  <c r="D18" i="17"/>
  <c r="D14" i="17"/>
  <c r="L63" i="15"/>
  <c r="M28" i="5" l="1"/>
  <c r="M25" i="5"/>
  <c r="M23" i="5"/>
  <c r="M20" i="5"/>
  <c r="M16" i="5"/>
  <c r="M15"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K56" i="18" s="1"/>
  <c r="G56" i="18"/>
  <c r="F56" i="18"/>
  <c r="K55" i="18"/>
  <c r="H55" i="18"/>
  <c r="K54" i="18"/>
  <c r="H54" i="18"/>
  <c r="K53" i="18"/>
  <c r="C26" i="18" s="1"/>
  <c r="H53" i="18"/>
  <c r="K52" i="18"/>
  <c r="H52" i="18"/>
  <c r="K51" i="18"/>
  <c r="H51" i="18"/>
  <c r="K50" i="18"/>
  <c r="H50" i="18"/>
  <c r="K49" i="18"/>
  <c r="C22" i="18" s="1"/>
  <c r="H49" i="18"/>
  <c r="K48" i="18"/>
  <c r="H48" i="18"/>
  <c r="K47" i="18"/>
  <c r="H47" i="18"/>
  <c r="K46" i="18"/>
  <c r="H46" i="18"/>
  <c r="K45" i="18"/>
  <c r="C18" i="18" s="1"/>
  <c r="H45" i="18"/>
  <c r="K44" i="18"/>
  <c r="H44" i="18"/>
  <c r="K43" i="18"/>
  <c r="H43" i="18"/>
  <c r="K42" i="18"/>
  <c r="H42" i="18"/>
  <c r="K41" i="18"/>
  <c r="C14" i="18" s="1"/>
  <c r="H41" i="18"/>
  <c r="K40" i="18"/>
  <c r="H40" i="18"/>
  <c r="K39" i="18"/>
  <c r="C12" i="18" s="1"/>
  <c r="H39" i="18"/>
  <c r="K38" i="18"/>
  <c r="H38" i="18"/>
  <c r="K37" i="18"/>
  <c r="C10" i="18" s="1"/>
  <c r="H37" i="18"/>
  <c r="H56" i="18" s="1"/>
  <c r="K36" i="18"/>
  <c r="H36" i="18"/>
  <c r="C28" i="18"/>
  <c r="C27" i="18"/>
  <c r="C25" i="18"/>
  <c r="C24" i="18"/>
  <c r="C23" i="18"/>
  <c r="C21" i="18"/>
  <c r="C20" i="18"/>
  <c r="C19" i="18"/>
  <c r="C17" i="18"/>
  <c r="C16" i="18"/>
  <c r="C15" i="18"/>
  <c r="C13" i="18"/>
  <c r="C11" i="18"/>
  <c r="C9" i="18"/>
  <c r="C29" i="18" s="1"/>
  <c r="C29" i="17"/>
  <c r="F29" i="17" l="1"/>
  <c r="E26" i="17" s="1"/>
  <c r="G26" i="17" s="1"/>
  <c r="E10" i="18"/>
  <c r="E14" i="18"/>
  <c r="E22" i="18"/>
  <c r="E11" i="18"/>
  <c r="E12" i="18"/>
  <c r="E18" i="18"/>
  <c r="E26" i="18"/>
  <c r="E13" i="18"/>
  <c r="E9" i="18"/>
  <c r="E17" i="18"/>
  <c r="E21" i="18"/>
  <c r="E25" i="18"/>
  <c r="E16" i="18"/>
  <c r="E20" i="18"/>
  <c r="E28" i="18"/>
  <c r="E15" i="18"/>
  <c r="E19" i="18"/>
  <c r="E27" i="18"/>
  <c r="E24" i="18"/>
  <c r="E23" i="18"/>
  <c r="D87" i="19"/>
  <c r="E11" i="17" l="1"/>
  <c r="G11" i="17" s="1"/>
  <c r="C11" i="19" s="1"/>
  <c r="E27" i="17"/>
  <c r="G27" i="17" s="1"/>
  <c r="E25" i="17"/>
  <c r="G25" i="17" s="1"/>
  <c r="C25" i="19" s="1"/>
  <c r="E18" i="17"/>
  <c r="G18" i="17" s="1"/>
  <c r="E15" i="17"/>
  <c r="G15" i="17" s="1"/>
  <c r="C15" i="19" s="1"/>
  <c r="E12" i="17"/>
  <c r="G12" i="17" s="1"/>
  <c r="E9" i="17"/>
  <c r="G9" i="17" s="1"/>
  <c r="E28" i="17"/>
  <c r="G28" i="17" s="1"/>
  <c r="E23" i="17"/>
  <c r="G23" i="17" s="1"/>
  <c r="C23" i="19" s="1"/>
  <c r="E21" i="17"/>
  <c r="G21" i="17" s="1"/>
  <c r="E17" i="17"/>
  <c r="G17" i="17" s="1"/>
  <c r="C17" i="19" s="1"/>
  <c r="E22" i="17"/>
  <c r="G22" i="17" s="1"/>
  <c r="E24" i="17"/>
  <c r="G24" i="17" s="1"/>
  <c r="C24" i="19" s="1"/>
  <c r="E10" i="17"/>
  <c r="G10" i="17" s="1"/>
  <c r="E14" i="17"/>
  <c r="G14" i="17" s="1"/>
  <c r="E19" i="17"/>
  <c r="G19" i="17" s="1"/>
  <c r="C19" i="19" s="1"/>
  <c r="E13" i="17"/>
  <c r="G13" i="17" s="1"/>
  <c r="C13" i="19" s="1"/>
  <c r="E16" i="17"/>
  <c r="G16" i="17" s="1"/>
  <c r="E20" i="17"/>
  <c r="G20" i="17" s="1"/>
  <c r="C18" i="19"/>
  <c r="F27" i="18"/>
  <c r="F17" i="18"/>
  <c r="C22" i="19"/>
  <c r="F24" i="18"/>
  <c r="F15" i="18"/>
  <c r="F25" i="18"/>
  <c r="F13" i="18"/>
  <c r="F11" i="18"/>
  <c r="F14" i="18"/>
  <c r="C21" i="19"/>
  <c r="C12" i="19"/>
  <c r="C14" i="19"/>
  <c r="F21" i="18"/>
  <c r="C10" i="19"/>
  <c r="F28" i="18"/>
  <c r="F26" i="18"/>
  <c r="F10" i="18"/>
  <c r="C28" i="19"/>
  <c r="F20" i="18"/>
  <c r="F18" i="18"/>
  <c r="C27" i="19"/>
  <c r="F23" i="18"/>
  <c r="F19" i="18"/>
  <c r="F16" i="18"/>
  <c r="E29" i="18"/>
  <c r="F9" i="18"/>
  <c r="F29" i="18" s="1"/>
  <c r="F12" i="18"/>
  <c r="F22" i="18"/>
  <c r="C20" i="19"/>
  <c r="C26" i="19"/>
  <c r="C16" i="19" l="1"/>
  <c r="E29" i="17"/>
  <c r="G29" i="17" s="1"/>
  <c r="C9" i="19"/>
  <c r="C29" i="19" s="1"/>
  <c r="I11" i="5" l="1"/>
  <c r="I12" i="5"/>
  <c r="I13" i="5"/>
  <c r="I14" i="5"/>
  <c r="I15" i="5"/>
  <c r="I16" i="5"/>
  <c r="I17" i="5"/>
  <c r="I18" i="5"/>
  <c r="I19" i="5"/>
  <c r="I20" i="5"/>
  <c r="I21" i="5"/>
  <c r="I22" i="5"/>
  <c r="I23" i="5"/>
  <c r="I24" i="5"/>
  <c r="I25" i="5"/>
  <c r="I26" i="5"/>
  <c r="I27" i="5"/>
  <c r="I28" i="5"/>
  <c r="I29" i="5"/>
  <c r="I10" i="5"/>
  <c r="F29" i="5"/>
  <c r="F28" i="5"/>
  <c r="F27" i="5"/>
  <c r="F26" i="5"/>
  <c r="F25" i="5"/>
  <c r="F24" i="5"/>
  <c r="F23" i="5"/>
  <c r="F22" i="5"/>
  <c r="F21" i="5"/>
  <c r="F20" i="5"/>
  <c r="F19" i="5"/>
  <c r="F18" i="5"/>
  <c r="F17" i="5"/>
  <c r="F16" i="5"/>
  <c r="F15" i="5"/>
  <c r="F14" i="5"/>
  <c r="F13" i="5"/>
  <c r="F12" i="5"/>
  <c r="F11" i="5"/>
  <c r="F10" i="5"/>
  <c r="D10" i="4"/>
  <c r="D11" i="4"/>
  <c r="D12" i="4"/>
  <c r="D13" i="4"/>
  <c r="D14" i="4"/>
  <c r="D15" i="4"/>
  <c r="D16" i="4"/>
  <c r="D17" i="4"/>
  <c r="D18" i="4"/>
  <c r="D19" i="4"/>
  <c r="D20" i="4"/>
  <c r="D21" i="4"/>
  <c r="D22" i="4"/>
  <c r="D23" i="4"/>
  <c r="D24" i="4"/>
  <c r="D25" i="4"/>
  <c r="D26" i="4"/>
  <c r="D27" i="4"/>
  <c r="D28" i="4"/>
  <c r="D9" i="4"/>
  <c r="O94" i="15"/>
  <c r="N94" i="15"/>
  <c r="L94" i="15"/>
  <c r="K94" i="15"/>
  <c r="I94" i="15"/>
  <c r="H94" i="15"/>
  <c r="G94" i="15"/>
  <c r="E94" i="15"/>
  <c r="D94" i="15"/>
  <c r="F94" i="15" s="1"/>
  <c r="P93" i="15"/>
  <c r="M93" i="15"/>
  <c r="R93" i="15" s="1"/>
  <c r="I93" i="15"/>
  <c r="J93" i="15" s="1"/>
  <c r="F93" i="15"/>
  <c r="R92" i="15"/>
  <c r="P92" i="15"/>
  <c r="M92" i="15"/>
  <c r="I92" i="15"/>
  <c r="J92" i="15" s="1"/>
  <c r="F92" i="15"/>
  <c r="P91" i="15"/>
  <c r="M91" i="15"/>
  <c r="R91" i="15" s="1"/>
  <c r="I91" i="15"/>
  <c r="J91" i="15" s="1"/>
  <c r="F91" i="15"/>
  <c r="R90" i="15"/>
  <c r="P90" i="15"/>
  <c r="M90" i="15"/>
  <c r="I90" i="15"/>
  <c r="J90" i="15" s="1"/>
  <c r="F90" i="15"/>
  <c r="P89" i="15"/>
  <c r="M89" i="15"/>
  <c r="R89" i="15" s="1"/>
  <c r="I89" i="15"/>
  <c r="J89" i="15" s="1"/>
  <c r="F89" i="15"/>
  <c r="R88" i="15"/>
  <c r="P88" i="15"/>
  <c r="M88" i="15"/>
  <c r="I88" i="15"/>
  <c r="J88" i="15" s="1"/>
  <c r="F88" i="15"/>
  <c r="P87" i="15"/>
  <c r="M87" i="15"/>
  <c r="R87" i="15" s="1"/>
  <c r="I87" i="15"/>
  <c r="J87" i="15" s="1"/>
  <c r="F87" i="15"/>
  <c r="R86" i="15"/>
  <c r="P86" i="15"/>
  <c r="M86" i="15"/>
  <c r="I86" i="15"/>
  <c r="J86" i="15" s="1"/>
  <c r="F86" i="15"/>
  <c r="P85" i="15"/>
  <c r="M85" i="15"/>
  <c r="R85" i="15" s="1"/>
  <c r="I85" i="15"/>
  <c r="J85" i="15" s="1"/>
  <c r="F85" i="15"/>
  <c r="R84" i="15"/>
  <c r="P84" i="15"/>
  <c r="M84" i="15"/>
  <c r="I84" i="15"/>
  <c r="J84" i="15" s="1"/>
  <c r="F84" i="15"/>
  <c r="P83" i="15"/>
  <c r="M83" i="15"/>
  <c r="R83" i="15" s="1"/>
  <c r="I83" i="15"/>
  <c r="J83" i="15" s="1"/>
  <c r="F83" i="15"/>
  <c r="R82" i="15"/>
  <c r="P82" i="15"/>
  <c r="M82" i="15"/>
  <c r="I82" i="15"/>
  <c r="J82" i="15" s="1"/>
  <c r="F82" i="15"/>
  <c r="P81" i="15"/>
  <c r="M81" i="15"/>
  <c r="R81" i="15" s="1"/>
  <c r="I81" i="15"/>
  <c r="J81" i="15" s="1"/>
  <c r="F81" i="15"/>
  <c r="R80" i="15"/>
  <c r="P80" i="15"/>
  <c r="M80" i="15"/>
  <c r="I80" i="15"/>
  <c r="J80" i="15" s="1"/>
  <c r="F80" i="15"/>
  <c r="P79" i="15"/>
  <c r="M79" i="15"/>
  <c r="R79" i="15" s="1"/>
  <c r="I79" i="15"/>
  <c r="J79" i="15" s="1"/>
  <c r="F79" i="15"/>
  <c r="R78" i="15"/>
  <c r="P78" i="15"/>
  <c r="M78" i="15"/>
  <c r="I78" i="15"/>
  <c r="J78" i="15" s="1"/>
  <c r="F78" i="15"/>
  <c r="P77" i="15"/>
  <c r="M77" i="15"/>
  <c r="R77" i="15" s="1"/>
  <c r="I77" i="15"/>
  <c r="J77" i="15" s="1"/>
  <c r="F77" i="15"/>
  <c r="R76" i="15"/>
  <c r="P76" i="15"/>
  <c r="M76" i="15"/>
  <c r="I76" i="15"/>
  <c r="J76" i="15" s="1"/>
  <c r="F76" i="15"/>
  <c r="P75" i="15"/>
  <c r="M75" i="15"/>
  <c r="R75" i="15" s="1"/>
  <c r="I75" i="15"/>
  <c r="J75" i="15" s="1"/>
  <c r="F75" i="15"/>
  <c r="R74" i="15"/>
  <c r="R94" i="15" s="1"/>
  <c r="P74" i="15"/>
  <c r="P94" i="15" s="1"/>
  <c r="M74" i="15"/>
  <c r="M94" i="15" s="1"/>
  <c r="I74" i="15"/>
  <c r="J74" i="15" s="1"/>
  <c r="F74" i="15"/>
  <c r="K60" i="15"/>
  <c r="L60" i="15" s="1"/>
  <c r="L59" i="15"/>
  <c r="L58" i="15"/>
  <c r="K55" i="15"/>
  <c r="L55" i="15" s="1"/>
  <c r="L54" i="15"/>
  <c r="L53" i="15"/>
  <c r="K50" i="15"/>
  <c r="L49" i="15"/>
  <c r="L48" i="15"/>
  <c r="K45" i="15"/>
  <c r="K40" i="15"/>
  <c r="L40" i="15" s="1"/>
  <c r="L39" i="15"/>
  <c r="L38" i="15"/>
  <c r="K35" i="15"/>
  <c r="L35" i="15" s="1"/>
  <c r="L34" i="15"/>
  <c r="L33" i="15"/>
  <c r="K24" i="15"/>
  <c r="I13" i="15"/>
  <c r="K11" i="15"/>
  <c r="L50" i="15" l="1"/>
  <c r="F30" i="20"/>
  <c r="I12" i="15"/>
  <c r="K30" i="15"/>
  <c r="K25" i="15"/>
  <c r="K28" i="15" s="1"/>
  <c r="I19" i="15"/>
  <c r="K27" i="15"/>
  <c r="F12" i="20" l="1"/>
  <c r="G12" i="20" s="1"/>
  <c r="AA12" i="3" s="1"/>
  <c r="F29" i="20"/>
  <c r="G29" i="20" s="1"/>
  <c r="AA29" i="3" s="1"/>
  <c r="F15" i="20"/>
  <c r="G15" i="20" s="1"/>
  <c r="AA15" i="3" s="1"/>
  <c r="F22" i="20"/>
  <c r="G22" i="20" s="1"/>
  <c r="AA22" i="3" s="1"/>
  <c r="F24" i="20"/>
  <c r="G24" i="20" s="1"/>
  <c r="AA24" i="3" s="1"/>
  <c r="F21" i="20"/>
  <c r="G21" i="20" s="1"/>
  <c r="AA21" i="3" s="1"/>
  <c r="F27" i="20"/>
  <c r="G27" i="20" s="1"/>
  <c r="AA27" i="3" s="1"/>
  <c r="F11" i="20"/>
  <c r="G11" i="20" s="1"/>
  <c r="AA11" i="3" s="1"/>
  <c r="F20" i="20"/>
  <c r="G20" i="20" s="1"/>
  <c r="AA20" i="3" s="1"/>
  <c r="F25" i="20"/>
  <c r="G25" i="20" s="1"/>
  <c r="AA25" i="3" s="1"/>
  <c r="F23" i="20"/>
  <c r="G23" i="20" s="1"/>
  <c r="AA23" i="3" s="1"/>
  <c r="F17" i="20"/>
  <c r="G17" i="20" s="1"/>
  <c r="AA17" i="3" s="1"/>
  <c r="F10" i="20"/>
  <c r="G10" i="20" s="1"/>
  <c r="AA10" i="3" s="1"/>
  <c r="F14" i="20"/>
  <c r="G14" i="20" s="1"/>
  <c r="AA14" i="3" s="1"/>
  <c r="F16" i="20"/>
  <c r="G16" i="20" s="1"/>
  <c r="AA16" i="3" s="1"/>
  <c r="F19" i="20"/>
  <c r="G19" i="20" s="1"/>
  <c r="AA19" i="3" s="1"/>
  <c r="F13" i="20"/>
  <c r="G13" i="20" s="1"/>
  <c r="AA13" i="3" s="1"/>
  <c r="F26" i="20"/>
  <c r="G26" i="20" s="1"/>
  <c r="AA26" i="3" s="1"/>
  <c r="F28" i="20"/>
  <c r="G28" i="20" s="1"/>
  <c r="AA28" i="3" s="1"/>
  <c r="F18" i="20"/>
  <c r="G18" i="20" s="1"/>
  <c r="AA18" i="3" s="1"/>
  <c r="I15" i="15"/>
  <c r="I16" i="15"/>
  <c r="I17" i="15"/>
  <c r="S29" i="4" s="1"/>
  <c r="H10" i="17"/>
  <c r="D10" i="19" s="1"/>
  <c r="H14" i="17"/>
  <c r="D14" i="19" s="1"/>
  <c r="H18" i="17"/>
  <c r="D18" i="19" s="1"/>
  <c r="H22" i="17"/>
  <c r="D22" i="19" s="1"/>
  <c r="H26" i="17"/>
  <c r="D26" i="19" s="1"/>
  <c r="H11" i="17"/>
  <c r="D11" i="19" s="1"/>
  <c r="H15" i="17"/>
  <c r="D15" i="19" s="1"/>
  <c r="H19" i="17"/>
  <c r="D19" i="19" s="1"/>
  <c r="H23" i="17"/>
  <c r="D23" i="19" s="1"/>
  <c r="H27" i="17"/>
  <c r="D27" i="19" s="1"/>
  <c r="H12" i="17"/>
  <c r="D12" i="19" s="1"/>
  <c r="H16" i="17"/>
  <c r="D16" i="19" s="1"/>
  <c r="H20" i="17"/>
  <c r="D20" i="19" s="1"/>
  <c r="H24" i="17"/>
  <c r="D24" i="19" s="1"/>
  <c r="H28" i="17"/>
  <c r="D28" i="19" s="1"/>
  <c r="H13" i="17"/>
  <c r="D13" i="19" s="1"/>
  <c r="H17" i="17"/>
  <c r="D17" i="19" s="1"/>
  <c r="H21" i="17"/>
  <c r="D21" i="19" s="1"/>
  <c r="H25" i="17"/>
  <c r="D25" i="19" s="1"/>
  <c r="H9" i="17"/>
  <c r="G10" i="18"/>
  <c r="F10" i="19" s="1"/>
  <c r="G14" i="18"/>
  <c r="F14" i="19" s="1"/>
  <c r="G18" i="18"/>
  <c r="F18" i="19" s="1"/>
  <c r="G22" i="18"/>
  <c r="F22" i="19" s="1"/>
  <c r="G26" i="18"/>
  <c r="F26" i="19" s="1"/>
  <c r="G11" i="18"/>
  <c r="F11" i="19" s="1"/>
  <c r="G15" i="18"/>
  <c r="F15" i="19" s="1"/>
  <c r="G19" i="18"/>
  <c r="F19" i="19" s="1"/>
  <c r="G23" i="18"/>
  <c r="F23" i="19" s="1"/>
  <c r="G27" i="18"/>
  <c r="F27" i="19" s="1"/>
  <c r="G12" i="18"/>
  <c r="F12" i="19" s="1"/>
  <c r="G16" i="18"/>
  <c r="F16" i="19" s="1"/>
  <c r="G20" i="18"/>
  <c r="F20" i="19" s="1"/>
  <c r="G24" i="18"/>
  <c r="F24" i="19" s="1"/>
  <c r="G28" i="18"/>
  <c r="F28" i="19" s="1"/>
  <c r="G13" i="18"/>
  <c r="F13" i="19" s="1"/>
  <c r="G17" i="18"/>
  <c r="F17" i="19" s="1"/>
  <c r="G21" i="18"/>
  <c r="F21" i="19" s="1"/>
  <c r="G25" i="18"/>
  <c r="F25" i="19" s="1"/>
  <c r="G9" i="18"/>
  <c r="K26" i="15"/>
  <c r="K29" i="15"/>
  <c r="I18" i="15"/>
  <c r="K18" i="15" s="1"/>
  <c r="F29" i="1"/>
  <c r="AA30" i="3" l="1"/>
  <c r="G30" i="20"/>
  <c r="F9" i="19"/>
  <c r="F29" i="19" s="1"/>
  <c r="G29" i="18"/>
  <c r="H29" i="17"/>
  <c r="D9" i="19"/>
  <c r="G13" i="19"/>
  <c r="G16" i="19"/>
  <c r="G19" i="19"/>
  <c r="G22" i="19"/>
  <c r="G25" i="19"/>
  <c r="G28" i="19"/>
  <c r="G12" i="19"/>
  <c r="G15" i="19"/>
  <c r="G18" i="19"/>
  <c r="G21" i="19"/>
  <c r="G24" i="19"/>
  <c r="G27" i="19"/>
  <c r="G11" i="19"/>
  <c r="G14" i="19"/>
  <c r="G17" i="19"/>
  <c r="G20" i="19"/>
  <c r="G23" i="19"/>
  <c r="G26" i="19"/>
  <c r="G10" i="19"/>
  <c r="H29" i="14"/>
  <c r="L29" i="14" s="1"/>
  <c r="H29" i="13"/>
  <c r="J10" i="19" l="1"/>
  <c r="J23" i="19"/>
  <c r="J17" i="19"/>
  <c r="J18" i="19"/>
  <c r="J12" i="19"/>
  <c r="J25" i="19"/>
  <c r="J22" i="19"/>
  <c r="J16" i="19"/>
  <c r="J11" i="19"/>
  <c r="J24" i="19"/>
  <c r="J26" i="19"/>
  <c r="J20" i="19"/>
  <c r="J15" i="19"/>
  <c r="J28" i="19"/>
  <c r="J19" i="19"/>
  <c r="J13" i="19"/>
  <c r="J14" i="19"/>
  <c r="J27" i="19"/>
  <c r="J21" i="19"/>
  <c r="D29" i="19"/>
  <c r="G9" i="19"/>
  <c r="G29" i="19" l="1"/>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10" i="3"/>
  <c r="V11" i="3"/>
  <c r="V12" i="3"/>
  <c r="V13" i="3"/>
  <c r="V14" i="3"/>
  <c r="V17" i="3"/>
  <c r="V18" i="3"/>
  <c r="V19" i="3"/>
  <c r="V21" i="3"/>
  <c r="V22" i="3"/>
  <c r="V24" i="3"/>
  <c r="V26" i="3"/>
  <c r="V27" i="3"/>
  <c r="V29"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L9" i="19"/>
  <c r="M9" i="19"/>
  <c r="M20" i="19"/>
  <c r="E78" i="19" s="1"/>
  <c r="F78" i="19" s="1"/>
  <c r="L27" i="19"/>
  <c r="M27" i="19"/>
  <c r="E85" i="19" s="1"/>
  <c r="F85" i="19" s="1"/>
  <c r="M21" i="19"/>
  <c r="E79" i="19" s="1"/>
  <c r="F79" i="19" s="1"/>
  <c r="M26" i="19"/>
  <c r="E84" i="19" s="1"/>
  <c r="F84" i="19" s="1"/>
  <c r="M17" i="19"/>
  <c r="E75" i="19" s="1"/>
  <c r="F75" i="19" s="1"/>
  <c r="W29" i="4"/>
  <c r="C10" i="3"/>
  <c r="C11" i="3"/>
  <c r="C12" i="3"/>
  <c r="C13" i="3"/>
  <c r="C14" i="3"/>
  <c r="C15" i="3"/>
  <c r="C16" i="3"/>
  <c r="C17" i="3"/>
  <c r="C18" i="3"/>
  <c r="C19" i="3"/>
  <c r="C20" i="3"/>
  <c r="C30" i="11"/>
  <c r="B29" i="1"/>
  <c r="E29" i="1"/>
  <c r="G28" i="1"/>
  <c r="D28" i="1"/>
  <c r="H28" i="4" s="1"/>
  <c r="G27" i="1"/>
  <c r="D27" i="1"/>
  <c r="H27" i="4" s="1"/>
  <c r="G26" i="1"/>
  <c r="D26" i="1"/>
  <c r="H26" i="4" s="1"/>
  <c r="G25" i="1"/>
  <c r="D25" i="1"/>
  <c r="H25" i="4" s="1"/>
  <c r="G24" i="1"/>
  <c r="D24" i="1"/>
  <c r="H24" i="4" s="1"/>
  <c r="G23" i="1"/>
  <c r="D23" i="1"/>
  <c r="H23" i="4" s="1"/>
  <c r="G22" i="1"/>
  <c r="D22" i="1"/>
  <c r="H22" i="4" s="1"/>
  <c r="G21" i="1"/>
  <c r="D21" i="1"/>
  <c r="H21" i="4" s="1"/>
  <c r="G20" i="1"/>
  <c r="D20" i="1"/>
  <c r="H20" i="4" s="1"/>
  <c r="G19" i="1"/>
  <c r="D19" i="1"/>
  <c r="H19" i="4" s="1"/>
  <c r="G18" i="1"/>
  <c r="D18" i="1"/>
  <c r="H18" i="4" s="1"/>
  <c r="G17" i="1"/>
  <c r="D17" i="1"/>
  <c r="H17" i="4" s="1"/>
  <c r="G16" i="1"/>
  <c r="D16" i="1"/>
  <c r="H16" i="4" s="1"/>
  <c r="G15" i="1"/>
  <c r="D15" i="1"/>
  <c r="H15" i="4" s="1"/>
  <c r="G14" i="1"/>
  <c r="D14" i="1"/>
  <c r="H14" i="4" s="1"/>
  <c r="G13" i="1"/>
  <c r="D13" i="1"/>
  <c r="H13" i="4" s="1"/>
  <c r="G12" i="1"/>
  <c r="D12" i="1"/>
  <c r="H12" i="4" s="1"/>
  <c r="G11" i="1"/>
  <c r="D11" i="1"/>
  <c r="H11" i="4" s="1"/>
  <c r="G10" i="1"/>
  <c r="D10" i="1"/>
  <c r="H10" i="4" s="1"/>
  <c r="G9" i="1"/>
  <c r="D9" i="1"/>
  <c r="H9" i="4" s="1"/>
  <c r="M29" i="8"/>
  <c r="C29" i="8"/>
  <c r="C29" i="7"/>
  <c r="D61" i="5"/>
  <c r="E60" i="5"/>
  <c r="F60" i="5" s="1"/>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AA30" i="5"/>
  <c r="Y30" i="5"/>
  <c r="W30" i="5"/>
  <c r="M30" i="5"/>
  <c r="N23" i="5" s="1"/>
  <c r="D30" i="5"/>
  <c r="V29" i="5"/>
  <c r="X29" i="5" s="1"/>
  <c r="AB28" i="5"/>
  <c r="AB27" i="5"/>
  <c r="V27" i="5"/>
  <c r="X27" i="5" s="1"/>
  <c r="AB26" i="5"/>
  <c r="V26" i="5"/>
  <c r="X26" i="5" s="1"/>
  <c r="AB25" i="5"/>
  <c r="AB24" i="5"/>
  <c r="V24" i="5"/>
  <c r="X24" i="5" s="1"/>
  <c r="AB23" i="5"/>
  <c r="AB22" i="5"/>
  <c r="V22" i="5"/>
  <c r="X22" i="5" s="1"/>
  <c r="AB21" i="5"/>
  <c r="V21" i="5"/>
  <c r="X21" i="5" s="1"/>
  <c r="AB20" i="5"/>
  <c r="AB19" i="5"/>
  <c r="V19" i="5"/>
  <c r="X19" i="5" s="1"/>
  <c r="AB18" i="5"/>
  <c r="V18" i="5"/>
  <c r="X18" i="5" s="1"/>
  <c r="AB17" i="5"/>
  <c r="V17" i="5"/>
  <c r="X17" i="5" s="1"/>
  <c r="AB16" i="5"/>
  <c r="AB15" i="5"/>
  <c r="V14" i="5"/>
  <c r="X14" i="5" s="1"/>
  <c r="V13" i="5"/>
  <c r="X13" i="5" s="1"/>
  <c r="V12" i="5"/>
  <c r="X12" i="5" s="1"/>
  <c r="V11" i="5"/>
  <c r="X11" i="5" s="1"/>
  <c r="V10" i="5"/>
  <c r="X10" i="5" s="1"/>
  <c r="T10" i="5"/>
  <c r="T30" i="5" s="1"/>
  <c r="B29" i="4"/>
  <c r="AB30" i="5" l="1"/>
  <c r="L26" i="19"/>
  <c r="L25" i="19"/>
  <c r="L12" i="19"/>
  <c r="L15" i="19"/>
  <c r="L23" i="19"/>
  <c r="L17" i="19"/>
  <c r="L21" i="19"/>
  <c r="L20" i="19"/>
  <c r="L19" i="19"/>
  <c r="L18" i="19"/>
  <c r="L11" i="19"/>
  <c r="L28" i="19"/>
  <c r="M29" i="19"/>
  <c r="E87" i="19" s="1"/>
  <c r="F87" i="19" s="1"/>
  <c r="E67" i="19"/>
  <c r="F67" i="19" s="1"/>
  <c r="L22" i="19"/>
  <c r="L24" i="19"/>
  <c r="L10" i="19"/>
  <c r="L14" i="19"/>
  <c r="L29" i="19" s="1"/>
  <c r="L16" i="19"/>
  <c r="N25" i="5"/>
  <c r="V25" i="3" s="1"/>
  <c r="N20" i="5"/>
  <c r="V20" i="3" s="1"/>
  <c r="N15" i="5"/>
  <c r="V15" i="3" s="1"/>
  <c r="V23" i="3"/>
  <c r="V23" i="5"/>
  <c r="X23" i="5" s="1"/>
  <c r="N28" i="5"/>
  <c r="N16" i="5"/>
  <c r="E10" i="8"/>
  <c r="I10" i="4"/>
  <c r="J10" i="4" s="1"/>
  <c r="X10" i="4" s="1"/>
  <c r="E12" i="8"/>
  <c r="I12" i="4"/>
  <c r="E14" i="8"/>
  <c r="I14" i="4"/>
  <c r="E16" i="8"/>
  <c r="I16" i="4"/>
  <c r="E18" i="8"/>
  <c r="I18" i="4"/>
  <c r="J18" i="4" s="1"/>
  <c r="X18" i="4" s="1"/>
  <c r="E20" i="8"/>
  <c r="I20" i="4"/>
  <c r="I22" i="4"/>
  <c r="J22" i="4" s="1"/>
  <c r="X22" i="4" s="1"/>
  <c r="E22" i="8"/>
  <c r="E24" i="8"/>
  <c r="I24" i="4"/>
  <c r="J24" i="4" s="1"/>
  <c r="X24" i="4" s="1"/>
  <c r="I26" i="4"/>
  <c r="J26" i="4" s="1"/>
  <c r="X26" i="4" s="1"/>
  <c r="E26" i="8"/>
  <c r="E28" i="8"/>
  <c r="I28" i="4"/>
  <c r="J28" i="4" s="1"/>
  <c r="X28" i="4" s="1"/>
  <c r="E11" i="8"/>
  <c r="I11" i="4"/>
  <c r="J11" i="4" s="1"/>
  <c r="X11" i="4" s="1"/>
  <c r="I13" i="4"/>
  <c r="E13" i="8"/>
  <c r="I15" i="4"/>
  <c r="J15" i="4" s="1"/>
  <c r="X15" i="4" s="1"/>
  <c r="E15" i="8"/>
  <c r="I17" i="4"/>
  <c r="J17" i="4" s="1"/>
  <c r="X17" i="4" s="1"/>
  <c r="E17" i="8"/>
  <c r="I19" i="4"/>
  <c r="J19" i="4" s="1"/>
  <c r="X19" i="4" s="1"/>
  <c r="E19" i="8"/>
  <c r="I21" i="4"/>
  <c r="J21" i="4" s="1"/>
  <c r="X21" i="4" s="1"/>
  <c r="E21" i="8"/>
  <c r="I23" i="4"/>
  <c r="J23" i="4" s="1"/>
  <c r="X23" i="4" s="1"/>
  <c r="E23" i="8"/>
  <c r="I25" i="4"/>
  <c r="J25" i="4" s="1"/>
  <c r="X25" i="4" s="1"/>
  <c r="E25" i="8"/>
  <c r="E27" i="8"/>
  <c r="I27" i="4"/>
  <c r="J27" i="4" s="1"/>
  <c r="X27" i="4" s="1"/>
  <c r="I9" i="4"/>
  <c r="J9" i="4" s="1"/>
  <c r="X9" i="4" s="1"/>
  <c r="E9" i="8"/>
  <c r="G29" i="1"/>
  <c r="D29" i="1"/>
  <c r="J14" i="4"/>
  <c r="X14" i="4" s="1"/>
  <c r="J13" i="4"/>
  <c r="X13" i="4" s="1"/>
  <c r="D29" i="4"/>
  <c r="E11" i="4" s="1"/>
  <c r="E61" i="5"/>
  <c r="F61" i="5" s="1"/>
  <c r="H29" i="4"/>
  <c r="J20" i="4"/>
  <c r="X20" i="4" s="1"/>
  <c r="F30" i="5"/>
  <c r="G11" i="5" s="1"/>
  <c r="H11" i="5" s="1"/>
  <c r="D29" i="7"/>
  <c r="G29" i="8"/>
  <c r="E12" i="4"/>
  <c r="J12" i="4"/>
  <c r="X12" i="4" s="1"/>
  <c r="C29" i="1"/>
  <c r="E29" i="7"/>
  <c r="F14" i="7" s="1"/>
  <c r="E30" i="5"/>
  <c r="I30" i="5"/>
  <c r="J14" i="5" s="1"/>
  <c r="K14" i="5" s="1"/>
  <c r="F41" i="5"/>
  <c r="E22" i="4"/>
  <c r="E26" i="4"/>
  <c r="E24" i="4"/>
  <c r="AB15" i="3" l="1"/>
  <c r="G14" i="7"/>
  <c r="H14" i="7" s="1"/>
  <c r="AC15" i="3" s="1"/>
  <c r="F26" i="4"/>
  <c r="C26" i="14"/>
  <c r="D26" i="14" s="1"/>
  <c r="C26" i="13"/>
  <c r="D26" i="13" s="1"/>
  <c r="F24" i="4"/>
  <c r="C24" i="14"/>
  <c r="D24" i="14" s="1"/>
  <c r="C24" i="13"/>
  <c r="D24" i="13" s="1"/>
  <c r="F22" i="4"/>
  <c r="C22" i="14"/>
  <c r="D22" i="14" s="1"/>
  <c r="C22" i="13"/>
  <c r="D22" i="13" s="1"/>
  <c r="F12" i="4"/>
  <c r="C12" i="14"/>
  <c r="D12" i="14" s="1"/>
  <c r="C12" i="13"/>
  <c r="D12" i="13" s="1"/>
  <c r="F11" i="4"/>
  <c r="C11" i="14"/>
  <c r="D11" i="14" s="1"/>
  <c r="C11" i="13"/>
  <c r="D11" i="13" s="1"/>
  <c r="N30"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20" i="5"/>
  <c r="X20" i="5" s="1"/>
  <c r="V15" i="5"/>
  <c r="X15" i="5" s="1"/>
  <c r="V25" i="5"/>
  <c r="X25" i="5" s="1"/>
  <c r="V16" i="3"/>
  <c r="V16" i="5"/>
  <c r="X16" i="5" s="1"/>
  <c r="V28" i="3"/>
  <c r="V28" i="5"/>
  <c r="X28" i="5" s="1"/>
  <c r="E27" i="4"/>
  <c r="E13" i="4"/>
  <c r="E15" i="4"/>
  <c r="E18" i="4"/>
  <c r="I29" i="4"/>
  <c r="J16" i="4"/>
  <c r="X16" i="4" s="1"/>
  <c r="E29" i="8"/>
  <c r="F12" i="8" s="1"/>
  <c r="H12" i="8" s="1"/>
  <c r="J27" i="5"/>
  <c r="J26" i="5"/>
  <c r="K26" i="5" s="1"/>
  <c r="F20" i="7"/>
  <c r="F26" i="7"/>
  <c r="G19" i="5"/>
  <c r="H19" i="5" s="1"/>
  <c r="G25" i="5"/>
  <c r="H25" i="5" s="1"/>
  <c r="G17" i="5"/>
  <c r="H17" i="5" s="1"/>
  <c r="G20" i="5"/>
  <c r="H20" i="5" s="1"/>
  <c r="G21" i="5"/>
  <c r="H21" i="5" s="1"/>
  <c r="G27" i="5"/>
  <c r="H27" i="5" s="1"/>
  <c r="G28" i="5"/>
  <c r="H28" i="5" s="1"/>
  <c r="G29" i="5"/>
  <c r="H29" i="5" s="1"/>
  <c r="G22" i="5"/>
  <c r="H22" i="5" s="1"/>
  <c r="G24" i="5"/>
  <c r="H24" i="5" s="1"/>
  <c r="G26" i="5"/>
  <c r="H26" i="5" s="1"/>
  <c r="G30" i="5"/>
  <c r="G16" i="5"/>
  <c r="H16" i="5" s="1"/>
  <c r="J16" i="5"/>
  <c r="K16" i="5" s="1"/>
  <c r="L16" i="5" s="1"/>
  <c r="E25" i="4"/>
  <c r="E23" i="4"/>
  <c r="E21" i="4"/>
  <c r="J18" i="5"/>
  <c r="K18" i="5" s="1"/>
  <c r="E20" i="4"/>
  <c r="E17" i="4"/>
  <c r="E9" i="4"/>
  <c r="E10" i="4"/>
  <c r="E28" i="4"/>
  <c r="E19" i="4"/>
  <c r="J13" i="5"/>
  <c r="K13" i="5" s="1"/>
  <c r="E16" i="4"/>
  <c r="E14" i="4"/>
  <c r="J28" i="5"/>
  <c r="K28" i="5" s="1"/>
  <c r="G13" i="5"/>
  <c r="H13" i="5" s="1"/>
  <c r="J17" i="5"/>
  <c r="K17" i="5" s="1"/>
  <c r="G12" i="5"/>
  <c r="H12" i="5" s="1"/>
  <c r="G18" i="5"/>
  <c r="H18" i="5" s="1"/>
  <c r="G23" i="5"/>
  <c r="H23" i="5" s="1"/>
  <c r="G10" i="5"/>
  <c r="H10" i="5" s="1"/>
  <c r="G15" i="5"/>
  <c r="H15" i="5" s="1"/>
  <c r="G14" i="5"/>
  <c r="F28" i="7"/>
  <c r="F16" i="7"/>
  <c r="F18" i="7"/>
  <c r="F24" i="7"/>
  <c r="F10" i="7"/>
  <c r="F27" i="7"/>
  <c r="F23" i="7"/>
  <c r="F19" i="7"/>
  <c r="F15" i="7"/>
  <c r="F11" i="7"/>
  <c r="F25" i="7"/>
  <c r="F21" i="7"/>
  <c r="F17" i="7"/>
  <c r="F13" i="7"/>
  <c r="F9" i="7"/>
  <c r="F22" i="7"/>
  <c r="F12" i="7"/>
  <c r="J29" i="5"/>
  <c r="K29" i="5" s="1"/>
  <c r="J25" i="5"/>
  <c r="K25" i="5" s="1"/>
  <c r="J24" i="5"/>
  <c r="K24" i="5" s="1"/>
  <c r="J23" i="5"/>
  <c r="K23" i="5" s="1"/>
  <c r="J22" i="5"/>
  <c r="K22" i="5" s="1"/>
  <c r="J21" i="5"/>
  <c r="K21" i="5" s="1"/>
  <c r="J19" i="5"/>
  <c r="K19" i="5" s="1"/>
  <c r="J30" i="5"/>
  <c r="J12" i="5"/>
  <c r="K12" i="5" s="1"/>
  <c r="J11" i="5"/>
  <c r="K11" i="5" s="1"/>
  <c r="J15" i="5"/>
  <c r="K15" i="5" s="1"/>
  <c r="J10" i="5"/>
  <c r="K10" i="5" s="1"/>
  <c r="J20" i="5"/>
  <c r="K20" i="5" s="1"/>
  <c r="AB22" i="3" l="1"/>
  <c r="G21" i="7"/>
  <c r="H21" i="7" s="1"/>
  <c r="AC22" i="3" s="1"/>
  <c r="AB20" i="3"/>
  <c r="G19" i="7"/>
  <c r="AB10" i="3"/>
  <c r="G9" i="7"/>
  <c r="AB26" i="3"/>
  <c r="G25" i="7"/>
  <c r="AB24" i="3"/>
  <c r="G23" i="7"/>
  <c r="H23" i="7" s="1"/>
  <c r="AC24" i="3" s="1"/>
  <c r="AB19" i="3"/>
  <c r="G18" i="7"/>
  <c r="AB21" i="3"/>
  <c r="G20" i="7"/>
  <c r="H20" i="7" s="1"/>
  <c r="AC21" i="3" s="1"/>
  <c r="AB14" i="3"/>
  <c r="G13" i="7"/>
  <c r="AB12" i="3"/>
  <c r="G11" i="7"/>
  <c r="H11" i="7" s="1"/>
  <c r="AC12" i="3" s="1"/>
  <c r="AB28" i="3"/>
  <c r="G27" i="7"/>
  <c r="H27" i="7" s="1"/>
  <c r="AC28" i="3" s="1"/>
  <c r="AB17" i="3"/>
  <c r="G16" i="7"/>
  <c r="H16" i="7" s="1"/>
  <c r="AC17" i="3" s="1"/>
  <c r="AB13" i="3"/>
  <c r="G12" i="7"/>
  <c r="AB18" i="3"/>
  <c r="G17" i="7"/>
  <c r="H17" i="7" s="1"/>
  <c r="AC18" i="3" s="1"/>
  <c r="AB16" i="3"/>
  <c r="G15" i="7"/>
  <c r="AB11" i="3"/>
  <c r="G10" i="7"/>
  <c r="H10" i="7" s="1"/>
  <c r="AC11" i="3" s="1"/>
  <c r="AB29" i="3"/>
  <c r="G28" i="7"/>
  <c r="AB23" i="3"/>
  <c r="G22" i="7"/>
  <c r="H22" i="7" s="1"/>
  <c r="AC23" i="3" s="1"/>
  <c r="AB25" i="3"/>
  <c r="G24" i="7"/>
  <c r="AB27" i="3"/>
  <c r="G26" i="7"/>
  <c r="H26" i="7" s="1"/>
  <c r="AC27" i="3" s="1"/>
  <c r="F14" i="4"/>
  <c r="C14" i="14"/>
  <c r="D14" i="14" s="1"/>
  <c r="C14" i="13"/>
  <c r="D14" i="13" s="1"/>
  <c r="F9" i="4"/>
  <c r="C9" i="14"/>
  <c r="D9" i="14" s="1"/>
  <c r="C9" i="13"/>
  <c r="F23" i="4"/>
  <c r="C23" i="14"/>
  <c r="D23" i="14" s="1"/>
  <c r="C23" i="13"/>
  <c r="D23" i="13" s="1"/>
  <c r="F15" i="4"/>
  <c r="C15" i="14"/>
  <c r="D15" i="14" s="1"/>
  <c r="C15" i="13"/>
  <c r="D15" i="13" s="1"/>
  <c r="G22" i="4"/>
  <c r="F21" i="4"/>
  <c r="C21" i="14"/>
  <c r="D21" i="14" s="1"/>
  <c r="C21" i="13"/>
  <c r="D21" i="13" s="1"/>
  <c r="G24" i="4"/>
  <c r="F19" i="4"/>
  <c r="C19" i="14"/>
  <c r="D19" i="14" s="1"/>
  <c r="C19" i="13"/>
  <c r="D19" i="13" s="1"/>
  <c r="F17" i="4"/>
  <c r="C17" i="14"/>
  <c r="D17" i="14" s="1"/>
  <c r="C17" i="13"/>
  <c r="D17" i="13" s="1"/>
  <c r="F25" i="4"/>
  <c r="C25" i="14"/>
  <c r="D25" i="14" s="1"/>
  <c r="C25" i="13"/>
  <c r="D25" i="13" s="1"/>
  <c r="F13" i="4"/>
  <c r="C13" i="14"/>
  <c r="D13" i="14" s="1"/>
  <c r="C13" i="13"/>
  <c r="D13" i="13" s="1"/>
  <c r="G12" i="4"/>
  <c r="F10" i="4"/>
  <c r="C10" i="14"/>
  <c r="D10" i="14" s="1"/>
  <c r="C10" i="13"/>
  <c r="D10" i="13" s="1"/>
  <c r="F18" i="4"/>
  <c r="C18" i="14"/>
  <c r="D18" i="14" s="1"/>
  <c r="C18" i="13"/>
  <c r="D18" i="13" s="1"/>
  <c r="F16" i="4"/>
  <c r="C16" i="14"/>
  <c r="D16" i="14" s="1"/>
  <c r="C16" i="13"/>
  <c r="D16" i="13" s="1"/>
  <c r="F28" i="4"/>
  <c r="C28" i="14"/>
  <c r="D28" i="14" s="1"/>
  <c r="C28" i="13"/>
  <c r="D28" i="13" s="1"/>
  <c r="F20" i="4"/>
  <c r="C20" i="14"/>
  <c r="D20" i="14" s="1"/>
  <c r="C20" i="13"/>
  <c r="D20" i="13" s="1"/>
  <c r="F27" i="4"/>
  <c r="C27" i="14"/>
  <c r="D27" i="14" s="1"/>
  <c r="C27" i="13"/>
  <c r="D27" i="13" s="1"/>
  <c r="G11" i="4"/>
  <c r="G26" i="4"/>
  <c r="R14" i="5"/>
  <c r="S14" i="5" s="1"/>
  <c r="U14" i="3" s="1"/>
  <c r="H14" i="5"/>
  <c r="H30" i="5" s="1"/>
  <c r="R27" i="5"/>
  <c r="S27" i="5" s="1"/>
  <c r="U27" i="3" s="1"/>
  <c r="K27" i="5"/>
  <c r="G58" i="5" s="1"/>
  <c r="V30" i="5"/>
  <c r="X30" i="5"/>
  <c r="AG26" i="5"/>
  <c r="AH26" i="5" s="1"/>
  <c r="AG24" i="5"/>
  <c r="AH24" i="5" s="1"/>
  <c r="R25" i="5"/>
  <c r="S25" i="5" s="1"/>
  <c r="U25" i="3" s="1"/>
  <c r="AG17" i="5"/>
  <c r="AH17" i="5" s="1"/>
  <c r="R26" i="5"/>
  <c r="S26" i="5" s="1"/>
  <c r="U26" i="3" s="1"/>
  <c r="J29" i="4"/>
  <c r="K21"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8" i="5"/>
  <c r="S18" i="5" s="1"/>
  <c r="U18" i="3" s="1"/>
  <c r="G47" i="5"/>
  <c r="H47" i="5" s="1"/>
  <c r="R17" i="5"/>
  <c r="S17" i="5" s="1"/>
  <c r="U17" i="3" s="1"/>
  <c r="AG30" i="5"/>
  <c r="AH30" i="5" s="1"/>
  <c r="AG16" i="5"/>
  <c r="AH16" i="5" s="1"/>
  <c r="R16" i="5"/>
  <c r="S16" i="5" s="1"/>
  <c r="U16" i="3" s="1"/>
  <c r="AG13" i="5"/>
  <c r="AH13" i="5" s="1"/>
  <c r="AG27" i="5"/>
  <c r="AH27" i="5" s="1"/>
  <c r="AG14" i="5"/>
  <c r="AH14" i="5" s="1"/>
  <c r="E29" i="4"/>
  <c r="AG18" i="5"/>
  <c r="AH18" i="5" s="1"/>
  <c r="R22" i="5"/>
  <c r="S22" i="5" s="1"/>
  <c r="U22" i="3" s="1"/>
  <c r="R28" i="5"/>
  <c r="S28" i="5" s="1"/>
  <c r="U28" i="3" s="1"/>
  <c r="R13" i="5"/>
  <c r="S13" i="5" s="1"/>
  <c r="U13" i="3" s="1"/>
  <c r="AG28" i="5"/>
  <c r="AH28" i="5" s="1"/>
  <c r="AG12" i="5"/>
  <c r="AH12" i="5" s="1"/>
  <c r="H24" i="7"/>
  <c r="AC25" i="3" s="1"/>
  <c r="AG25" i="5"/>
  <c r="AH25" i="5" s="1"/>
  <c r="AG22" i="5"/>
  <c r="AH22" i="5" s="1"/>
  <c r="R23" i="5"/>
  <c r="S23" i="5" s="1"/>
  <c r="U23" i="3" s="1"/>
  <c r="H25" i="7"/>
  <c r="AC26" i="3" s="1"/>
  <c r="H18" i="7"/>
  <c r="AC19" i="3" s="1"/>
  <c r="H12" i="7"/>
  <c r="AC13" i="3" s="1"/>
  <c r="H15" i="7"/>
  <c r="AC16" i="3" s="1"/>
  <c r="H28" i="7"/>
  <c r="AC29" i="3" s="1"/>
  <c r="H13" i="7"/>
  <c r="AC14" i="3" s="1"/>
  <c r="H19" i="7"/>
  <c r="AC20" i="3" s="1"/>
  <c r="F29" i="7"/>
  <c r="L24" i="5"/>
  <c r="G55" i="5"/>
  <c r="L27" i="5"/>
  <c r="R11" i="5"/>
  <c r="S11" i="5" s="1"/>
  <c r="U11" i="3" s="1"/>
  <c r="AG11" i="5"/>
  <c r="AH11" i="5" s="1"/>
  <c r="AG19" i="5"/>
  <c r="AH19" i="5" s="1"/>
  <c r="AG10" i="5"/>
  <c r="AH10" i="5" s="1"/>
  <c r="R21" i="5"/>
  <c r="S21" i="5" s="1"/>
  <c r="U21" i="3" s="1"/>
  <c r="R29" i="5"/>
  <c r="S29" i="5" s="1"/>
  <c r="U29" i="3" s="1"/>
  <c r="R20" i="5"/>
  <c r="S20" i="5" s="1"/>
  <c r="U20" i="3" s="1"/>
  <c r="AG15" i="5"/>
  <c r="AH15" i="5" s="1"/>
  <c r="R15" i="5"/>
  <c r="S15" i="5" s="1"/>
  <c r="U15" i="3" s="1"/>
  <c r="R19" i="5"/>
  <c r="S19" i="5" s="1"/>
  <c r="U19" i="3" s="1"/>
  <c r="G52" i="5"/>
  <c r="L21" i="5"/>
  <c r="G44" i="5"/>
  <c r="L13" i="5"/>
  <c r="R24" i="5"/>
  <c r="S24" i="5" s="1"/>
  <c r="U24" i="3" s="1"/>
  <c r="Z27" i="5"/>
  <c r="U27" i="5"/>
  <c r="G53" i="5"/>
  <c r="L22" i="5"/>
  <c r="G48" i="5"/>
  <c r="L17" i="5"/>
  <c r="G54" i="5"/>
  <c r="L23" i="5"/>
  <c r="G41" i="5"/>
  <c r="L10" i="5"/>
  <c r="AG21" i="5"/>
  <c r="AH21" i="5" s="1"/>
  <c r="L20" i="5"/>
  <c r="G51" i="5"/>
  <c r="G43" i="5"/>
  <c r="L12" i="5"/>
  <c r="L29" i="5"/>
  <c r="G60" i="5"/>
  <c r="L28" i="5"/>
  <c r="G59" i="5"/>
  <c r="G49" i="5"/>
  <c r="L18" i="5"/>
  <c r="G56" i="5"/>
  <c r="L25" i="5"/>
  <c r="K30" i="5"/>
  <c r="G50" i="5"/>
  <c r="L19" i="5"/>
  <c r="AG23" i="5"/>
  <c r="AH23" i="5" s="1"/>
  <c r="R10" i="5"/>
  <c r="AG29" i="5"/>
  <c r="AH29" i="5" s="1"/>
  <c r="L26" i="5"/>
  <c r="G57" i="5"/>
  <c r="AG20" i="5"/>
  <c r="AH20" i="5" s="1"/>
  <c r="R12" i="5"/>
  <c r="S12" i="5" s="1"/>
  <c r="U12" i="3" s="1"/>
  <c r="G21" i="4" l="1"/>
  <c r="G16" i="4"/>
  <c r="G18" i="4"/>
  <c r="G13" i="4"/>
  <c r="G15" i="4"/>
  <c r="C29" i="13"/>
  <c r="D9" i="13"/>
  <c r="G23" i="4"/>
  <c r="L21" i="4"/>
  <c r="M21" i="4" s="1"/>
  <c r="E21" i="14"/>
  <c r="F21" i="14" s="1"/>
  <c r="E21" i="13"/>
  <c r="F21" i="13" s="1"/>
  <c r="G28" i="4"/>
  <c r="G19" i="4"/>
  <c r="G27" i="4"/>
  <c r="G10" i="4"/>
  <c r="G25" i="4"/>
  <c r="F29" i="4"/>
  <c r="G20" i="4"/>
  <c r="G17" i="4"/>
  <c r="G9" i="4"/>
  <c r="G14" i="4"/>
  <c r="U22" i="5"/>
  <c r="G45" i="5"/>
  <c r="H45" i="5" s="1"/>
  <c r="L14" i="5"/>
  <c r="Z14" i="5"/>
  <c r="U14" i="5"/>
  <c r="U25" i="5"/>
  <c r="O23" i="5"/>
  <c r="P23" i="5" s="1"/>
  <c r="O20" i="5"/>
  <c r="P20" i="5" s="1"/>
  <c r="O15" i="5"/>
  <c r="O28" i="5"/>
  <c r="O25" i="5"/>
  <c r="Q25" i="5" s="1"/>
  <c r="W25" i="3" s="1"/>
  <c r="O16" i="5"/>
  <c r="I47" i="5"/>
  <c r="J47" i="5" s="1"/>
  <c r="O21" i="5"/>
  <c r="P21" i="5" s="1"/>
  <c r="O19" i="5"/>
  <c r="P19" i="5" s="1"/>
  <c r="Z25" i="5"/>
  <c r="U17" i="5"/>
  <c r="U26" i="5"/>
  <c r="Z26" i="5"/>
  <c r="Z17" i="5"/>
  <c r="U13" i="5"/>
  <c r="O21" i="4"/>
  <c r="P21" i="4" s="1"/>
  <c r="K9" i="4"/>
  <c r="K15" i="4"/>
  <c r="K19" i="4"/>
  <c r="K17" i="4"/>
  <c r="K23" i="4"/>
  <c r="K12" i="4"/>
  <c r="K20" i="4"/>
  <c r="K18" i="4"/>
  <c r="K28" i="4"/>
  <c r="K24" i="4"/>
  <c r="K14" i="4"/>
  <c r="K25" i="4"/>
  <c r="K26" i="4"/>
  <c r="K13" i="4"/>
  <c r="K22" i="4"/>
  <c r="K10" i="4"/>
  <c r="K27" i="4"/>
  <c r="K11" i="4"/>
  <c r="K16" i="4"/>
  <c r="H29" i="8"/>
  <c r="I29" i="8" s="1"/>
  <c r="F29" i="8"/>
  <c r="U18" i="5"/>
  <c r="Z18" i="5"/>
  <c r="U23" i="5"/>
  <c r="U16" i="5"/>
  <c r="Z16" i="5"/>
  <c r="U28" i="5"/>
  <c r="I45" i="5"/>
  <c r="Z13" i="5"/>
  <c r="Z28" i="5"/>
  <c r="Z23" i="5"/>
  <c r="Z22" i="5"/>
  <c r="Z19" i="5"/>
  <c r="H9" i="7"/>
  <c r="AC10" i="3" s="1"/>
  <c r="G29" i="7"/>
  <c r="H29" i="7" s="1"/>
  <c r="H60" i="5"/>
  <c r="I60" i="5"/>
  <c r="H58" i="5"/>
  <c r="I58" i="5"/>
  <c r="R30" i="5"/>
  <c r="S30" i="5" s="1"/>
  <c r="S10" i="5"/>
  <c r="U10" i="3" s="1"/>
  <c r="H51" i="5"/>
  <c r="I51" i="5"/>
  <c r="H48" i="5"/>
  <c r="I48" i="5"/>
  <c r="Z15" i="5"/>
  <c r="U15" i="5"/>
  <c r="U29" i="5"/>
  <c r="Z29" i="5"/>
  <c r="H55" i="5"/>
  <c r="I55" i="5"/>
  <c r="H59" i="5"/>
  <c r="I59" i="5"/>
  <c r="P27" i="5"/>
  <c r="P26" i="5"/>
  <c r="P25" i="5"/>
  <c r="O30" i="5"/>
  <c r="P24" i="5"/>
  <c r="G61" i="5"/>
  <c r="H61" i="5" s="1"/>
  <c r="P22" i="5"/>
  <c r="P18" i="5"/>
  <c r="P17" i="5"/>
  <c r="P29" i="5"/>
  <c r="P28" i="5"/>
  <c r="P11" i="5"/>
  <c r="P10" i="5"/>
  <c r="P15" i="5"/>
  <c r="P12" i="5"/>
  <c r="P13" i="5"/>
  <c r="U20" i="5"/>
  <c r="Z20" i="5"/>
  <c r="H57" i="5"/>
  <c r="I57" i="5"/>
  <c r="H49" i="5"/>
  <c r="I49" i="5"/>
  <c r="I43" i="5"/>
  <c r="H43" i="5"/>
  <c r="H44" i="5"/>
  <c r="I44" i="5"/>
  <c r="U21" i="5"/>
  <c r="Z21" i="5"/>
  <c r="Z11" i="5"/>
  <c r="U11" i="5"/>
  <c r="U12" i="5"/>
  <c r="Z12" i="5"/>
  <c r="H50" i="5"/>
  <c r="I50" i="5"/>
  <c r="H56" i="5"/>
  <c r="I56" i="5"/>
  <c r="H41" i="5"/>
  <c r="I41" i="5"/>
  <c r="H54" i="5"/>
  <c r="I54" i="5"/>
  <c r="I53" i="5"/>
  <c r="H53" i="5"/>
  <c r="U24" i="5"/>
  <c r="Z24" i="5"/>
  <c r="H52" i="5"/>
  <c r="I52" i="5"/>
  <c r="L15" i="5"/>
  <c r="G46" i="5"/>
  <c r="G42" i="5"/>
  <c r="L11" i="5"/>
  <c r="L11" i="4" l="1"/>
  <c r="E11" i="14"/>
  <c r="F11" i="14" s="1"/>
  <c r="E11" i="13"/>
  <c r="F11" i="13" s="1"/>
  <c r="L24" i="4"/>
  <c r="E24" i="14"/>
  <c r="F24" i="14" s="1"/>
  <c r="E24" i="13"/>
  <c r="F24" i="13" s="1"/>
  <c r="L15" i="4"/>
  <c r="O15" i="4" s="1"/>
  <c r="P15" i="4" s="1"/>
  <c r="E15" i="14"/>
  <c r="F15" i="14" s="1"/>
  <c r="E15" i="13"/>
  <c r="F15" i="13" s="1"/>
  <c r="L27" i="4"/>
  <c r="E27" i="14"/>
  <c r="F27" i="14" s="1"/>
  <c r="E27" i="13"/>
  <c r="F27" i="13" s="1"/>
  <c r="L26" i="4"/>
  <c r="E26" i="14"/>
  <c r="F26" i="14" s="1"/>
  <c r="E26" i="13"/>
  <c r="F26" i="13" s="1"/>
  <c r="L28" i="4"/>
  <c r="E28" i="14"/>
  <c r="F28" i="14" s="1"/>
  <c r="E28" i="13"/>
  <c r="F28" i="13" s="1"/>
  <c r="L23" i="4"/>
  <c r="E23" i="14"/>
  <c r="F23" i="14" s="1"/>
  <c r="E23" i="13"/>
  <c r="F23" i="13" s="1"/>
  <c r="L9" i="4"/>
  <c r="E9" i="14"/>
  <c r="F9" i="14" s="1"/>
  <c r="E9" i="13"/>
  <c r="L13" i="4"/>
  <c r="E13" i="14"/>
  <c r="F13" i="14" s="1"/>
  <c r="E13" i="13"/>
  <c r="F13" i="13" s="1"/>
  <c r="L12" i="4"/>
  <c r="E12" i="14"/>
  <c r="F12" i="14" s="1"/>
  <c r="E12" i="13"/>
  <c r="F12" i="13" s="1"/>
  <c r="L10" i="4"/>
  <c r="E10" i="14"/>
  <c r="F10" i="14" s="1"/>
  <c r="E10" i="13"/>
  <c r="F10" i="13" s="1"/>
  <c r="L25" i="4"/>
  <c r="E25" i="14"/>
  <c r="F25" i="14" s="1"/>
  <c r="E25" i="13"/>
  <c r="F25" i="13" s="1"/>
  <c r="L18" i="4"/>
  <c r="E18" i="14"/>
  <c r="F18" i="14" s="1"/>
  <c r="E18" i="13"/>
  <c r="F18" i="13" s="1"/>
  <c r="L17" i="4"/>
  <c r="E17" i="14"/>
  <c r="F17" i="14" s="1"/>
  <c r="E17" i="13"/>
  <c r="F17" i="13" s="1"/>
  <c r="L16" i="4"/>
  <c r="O16" i="4" s="1"/>
  <c r="P16" i="4" s="1"/>
  <c r="E16" i="14"/>
  <c r="F16" i="14" s="1"/>
  <c r="E16" i="13"/>
  <c r="F16" i="13" s="1"/>
  <c r="L22" i="4"/>
  <c r="E22" i="14"/>
  <c r="F22" i="14" s="1"/>
  <c r="E22" i="13"/>
  <c r="F22" i="13" s="1"/>
  <c r="L14" i="4"/>
  <c r="E14" i="14"/>
  <c r="F14" i="14" s="1"/>
  <c r="E14" i="13"/>
  <c r="F14" i="13" s="1"/>
  <c r="L20" i="4"/>
  <c r="E20" i="14"/>
  <c r="F20" i="14" s="1"/>
  <c r="E20" i="13"/>
  <c r="F20" i="13" s="1"/>
  <c r="L19" i="4"/>
  <c r="O19" i="4" s="1"/>
  <c r="P19" i="4" s="1"/>
  <c r="E19" i="14"/>
  <c r="F19" i="14" s="1"/>
  <c r="E19" i="13"/>
  <c r="F19" i="13" s="1"/>
  <c r="G29" i="4"/>
  <c r="J45" i="5"/>
  <c r="N21" i="4"/>
  <c r="O27" i="4"/>
  <c r="P27" i="4" s="1"/>
  <c r="O26" i="4"/>
  <c r="P26" i="4" s="1"/>
  <c r="O23" i="4"/>
  <c r="P23" i="4" s="1"/>
  <c r="O9" i="4"/>
  <c r="P9" i="4" s="1"/>
  <c r="O14" i="4"/>
  <c r="P14" i="4" s="1"/>
  <c r="O20" i="4"/>
  <c r="P20" i="4" s="1"/>
  <c r="O12" i="4"/>
  <c r="P12" i="4" s="1"/>
  <c r="O10" i="4"/>
  <c r="P10" i="4" s="1"/>
  <c r="O25" i="4"/>
  <c r="P25" i="4" s="1"/>
  <c r="O18" i="4"/>
  <c r="P18" i="4" s="1"/>
  <c r="O17" i="4"/>
  <c r="P17" i="4" s="1"/>
  <c r="O11" i="4"/>
  <c r="P11" i="4" s="1"/>
  <c r="O13" i="4"/>
  <c r="P13" i="4" s="1"/>
  <c r="K29" i="4"/>
  <c r="I15" i="8"/>
  <c r="X16" i="3" s="1"/>
  <c r="I20" i="8"/>
  <c r="X21" i="3" s="1"/>
  <c r="I26" i="8"/>
  <c r="X27" i="3" s="1"/>
  <c r="I16" i="8"/>
  <c r="X17" i="3" s="1"/>
  <c r="I11" i="8"/>
  <c r="X12" i="3" s="1"/>
  <c r="I10" i="8"/>
  <c r="X11" i="3" s="1"/>
  <c r="I13" i="8"/>
  <c r="X14" i="3" s="1"/>
  <c r="I28" i="8"/>
  <c r="X29" i="3" s="1"/>
  <c r="I22" i="8"/>
  <c r="X23" i="3" s="1"/>
  <c r="I19" i="8"/>
  <c r="X20" i="3" s="1"/>
  <c r="I25" i="8"/>
  <c r="X26" i="3" s="1"/>
  <c r="I21" i="8"/>
  <c r="X22" i="3" s="1"/>
  <c r="I18" i="8"/>
  <c r="X19" i="3" s="1"/>
  <c r="I12" i="8"/>
  <c r="X13" i="3" s="1"/>
  <c r="I24" i="8"/>
  <c r="X25" i="3" s="1"/>
  <c r="I9" i="8"/>
  <c r="X10" i="3" s="1"/>
  <c r="I23" i="8"/>
  <c r="X24" i="3" s="1"/>
  <c r="I17" i="8"/>
  <c r="X18" i="3" s="1"/>
  <c r="I27" i="8"/>
  <c r="X28" i="3" s="1"/>
  <c r="I14" i="8"/>
  <c r="X15" i="3" s="1"/>
  <c r="J51" i="5"/>
  <c r="J43" i="5"/>
  <c r="Q12" i="5"/>
  <c r="W12" i="3" s="1"/>
  <c r="Q28" i="5"/>
  <c r="W28" i="3" s="1"/>
  <c r="J48" i="5"/>
  <c r="Q20" i="5"/>
  <c r="W20" i="3" s="1"/>
  <c r="J50" i="5"/>
  <c r="J53" i="5"/>
  <c r="Q11" i="5"/>
  <c r="W11" i="3" s="1"/>
  <c r="Q22" i="5"/>
  <c r="W22" i="3" s="1"/>
  <c r="J49" i="5"/>
  <c r="J41" i="5"/>
  <c r="J44" i="5"/>
  <c r="J59" i="5"/>
  <c r="Q18" i="5"/>
  <c r="W18" i="3" s="1"/>
  <c r="Q15" i="5"/>
  <c r="W15" i="3" s="1"/>
  <c r="J54" i="5"/>
  <c r="Q23" i="5"/>
  <c r="W23" i="3" s="1"/>
  <c r="J57" i="5"/>
  <c r="J55" i="5"/>
  <c r="Q26" i="5"/>
  <c r="W26" i="3" s="1"/>
  <c r="Q27" i="5"/>
  <c r="W27" i="3" s="1"/>
  <c r="H46" i="5"/>
  <c r="I46" i="5"/>
  <c r="J52" i="5"/>
  <c r="J56" i="5"/>
  <c r="Q24" i="5"/>
  <c r="W24" i="3" s="1"/>
  <c r="P14" i="5"/>
  <c r="Q14" i="5"/>
  <c r="W14" i="3" s="1"/>
  <c r="Q19" i="5"/>
  <c r="W19" i="3" s="1"/>
  <c r="J58" i="5"/>
  <c r="P16" i="5"/>
  <c r="Q16" i="5"/>
  <c r="W16" i="3" s="1"/>
  <c r="Q17" i="5"/>
  <c r="W17" i="3" s="1"/>
  <c r="Q10" i="5"/>
  <c r="W10" i="3" s="1"/>
  <c r="Q13" i="5"/>
  <c r="W13" i="3" s="1"/>
  <c r="Q21" i="5"/>
  <c r="W21" i="3" s="1"/>
  <c r="Z10" i="5"/>
  <c r="Z30" i="5" s="1"/>
  <c r="U10" i="5"/>
  <c r="U30" i="5" s="1"/>
  <c r="H42" i="5"/>
  <c r="I42" i="5"/>
  <c r="L30" i="5"/>
  <c r="Q29" i="5"/>
  <c r="W29" i="3" s="1"/>
  <c r="J60" i="5"/>
  <c r="M10" i="4" l="1"/>
  <c r="N10" i="4" s="1"/>
  <c r="E29" i="13"/>
  <c r="F9" i="13"/>
  <c r="M28" i="4"/>
  <c r="N28" i="4" s="1"/>
  <c r="L29" i="4"/>
  <c r="M22" i="4"/>
  <c r="M25" i="4"/>
  <c r="N25" i="4" s="1"/>
  <c r="M23" i="4"/>
  <c r="M15" i="4"/>
  <c r="N15" i="4" s="1"/>
  <c r="M19" i="4"/>
  <c r="M16" i="4"/>
  <c r="M14" i="4"/>
  <c r="N14" i="4" s="1"/>
  <c r="M18" i="4"/>
  <c r="N18" i="4" s="1"/>
  <c r="M13" i="4"/>
  <c r="M9" i="4"/>
  <c r="M27" i="4"/>
  <c r="N27" i="4" s="1"/>
  <c r="M24" i="4"/>
  <c r="N24" i="4" s="1"/>
  <c r="O24" i="4"/>
  <c r="P24" i="4" s="1"/>
  <c r="O22" i="4"/>
  <c r="P22" i="4" s="1"/>
  <c r="O28" i="4"/>
  <c r="P28" i="4" s="1"/>
  <c r="P29" i="4" s="1"/>
  <c r="M20" i="4"/>
  <c r="M17" i="4"/>
  <c r="M12" i="4"/>
  <c r="N12" i="4" s="1"/>
  <c r="M26" i="4"/>
  <c r="M11" i="4"/>
  <c r="N11" i="4" s="1"/>
  <c r="N17" i="4"/>
  <c r="N19" i="4"/>
  <c r="N16" i="4"/>
  <c r="N23" i="4"/>
  <c r="N26" i="4"/>
  <c r="N13" i="4"/>
  <c r="N20" i="4"/>
  <c r="N22" i="4"/>
  <c r="N9" i="4"/>
  <c r="O29" i="4"/>
  <c r="J10" i="8"/>
  <c r="K10" i="8" s="1"/>
  <c r="Y11" i="3" s="1"/>
  <c r="L15" i="8"/>
  <c r="N15" i="8" s="1"/>
  <c r="J15" i="8"/>
  <c r="K15" i="8" s="1"/>
  <c r="Y16" i="3" s="1"/>
  <c r="J26" i="8"/>
  <c r="K26" i="8" s="1"/>
  <c r="Y27" i="3" s="1"/>
  <c r="L20" i="8"/>
  <c r="N20" i="8" s="1"/>
  <c r="J20" i="8"/>
  <c r="K20" i="8" s="1"/>
  <c r="Y21" i="3" s="1"/>
  <c r="L13" i="8"/>
  <c r="N13" i="8" s="1"/>
  <c r="L26" i="8"/>
  <c r="N26" i="8" s="1"/>
  <c r="L9" i="8"/>
  <c r="N9" i="8" s="1"/>
  <c r="J16" i="8"/>
  <c r="K16" i="8" s="1"/>
  <c r="Y17" i="3" s="1"/>
  <c r="L25" i="8"/>
  <c r="N25" i="8" s="1"/>
  <c r="L16" i="8"/>
  <c r="N16" i="8" s="1"/>
  <c r="J12" i="8"/>
  <c r="K12" i="8" s="1"/>
  <c r="Y13" i="3" s="1"/>
  <c r="J28" i="8"/>
  <c r="K28" i="8" s="1"/>
  <c r="Y29" i="3" s="1"/>
  <c r="L18" i="8"/>
  <c r="N18" i="8" s="1"/>
  <c r="J14" i="8"/>
  <c r="K14" i="8" s="1"/>
  <c r="Y15" i="3" s="1"/>
  <c r="L28" i="8"/>
  <c r="N28" i="8" s="1"/>
  <c r="J21" i="8"/>
  <c r="K21" i="8" s="1"/>
  <c r="Y22" i="3" s="1"/>
  <c r="J13" i="8"/>
  <c r="K13" i="8" s="1"/>
  <c r="Y14" i="3" s="1"/>
  <c r="J25" i="8"/>
  <c r="K25" i="8" s="1"/>
  <c r="Y26" i="3" s="1"/>
  <c r="L11" i="8"/>
  <c r="N11" i="8" s="1"/>
  <c r="L19" i="8"/>
  <c r="N19" i="8" s="1"/>
  <c r="J11" i="8"/>
  <c r="K11" i="8" s="1"/>
  <c r="Y12" i="3" s="1"/>
  <c r="L17" i="8"/>
  <c r="N17" i="8" s="1"/>
  <c r="J19" i="8"/>
  <c r="K19" i="8" s="1"/>
  <c r="Y20" i="3" s="1"/>
  <c r="L10" i="8"/>
  <c r="N10" i="8" s="1"/>
  <c r="J22" i="8"/>
  <c r="K22" i="8" s="1"/>
  <c r="Y23" i="3" s="1"/>
  <c r="L22" i="8"/>
  <c r="N22" i="8" s="1"/>
  <c r="J18" i="8"/>
  <c r="K18" i="8" s="1"/>
  <c r="Y19" i="3" s="1"/>
  <c r="J24" i="8"/>
  <c r="K24" i="8" s="1"/>
  <c r="Y25" i="3" s="1"/>
  <c r="L24" i="8"/>
  <c r="N24" i="8" s="1"/>
  <c r="L21" i="8"/>
  <c r="N21" i="8" s="1"/>
  <c r="L12" i="8"/>
  <c r="N12" i="8" s="1"/>
  <c r="J27" i="8"/>
  <c r="K27" i="8" s="1"/>
  <c r="Y28" i="3" s="1"/>
  <c r="L27" i="8"/>
  <c r="N27" i="8" s="1"/>
  <c r="J17" i="8"/>
  <c r="K17" i="8" s="1"/>
  <c r="Y18" i="3" s="1"/>
  <c r="J23" i="8"/>
  <c r="K23" i="8" s="1"/>
  <c r="Y24" i="3" s="1"/>
  <c r="L14" i="8"/>
  <c r="N14" i="8" s="1"/>
  <c r="L23" i="8"/>
  <c r="N23" i="8" s="1"/>
  <c r="J46" i="5"/>
  <c r="I61" i="5"/>
  <c r="J42" i="5"/>
  <c r="P30" i="5"/>
  <c r="Q30" i="5"/>
  <c r="M29" i="4" l="1"/>
  <c r="N29" i="4" s="1"/>
  <c r="N29" i="8"/>
  <c r="L29" i="8"/>
  <c r="Q11" i="4"/>
  <c r="Q15" i="4"/>
  <c r="Q18" i="4"/>
  <c r="Q16" i="4"/>
  <c r="Q14" i="4"/>
  <c r="Q17" i="4"/>
  <c r="Q10" i="4"/>
  <c r="Q13" i="4"/>
  <c r="Q9" i="4"/>
  <c r="Q12" i="4"/>
  <c r="Q21" i="4"/>
  <c r="Q23" i="4"/>
  <c r="Q20" i="4"/>
  <c r="Q27" i="4"/>
  <c r="Q25" i="4"/>
  <c r="Q19" i="4"/>
  <c r="Q22" i="4"/>
  <c r="Q24" i="4"/>
  <c r="Q26" i="4"/>
  <c r="Q28" i="4"/>
  <c r="G22" i="14" l="1"/>
  <c r="G22" i="13"/>
  <c r="G14" i="14"/>
  <c r="G14" i="13"/>
  <c r="G19" i="14"/>
  <c r="G19" i="13"/>
  <c r="G16" i="14"/>
  <c r="G16" i="13"/>
  <c r="G20" i="14"/>
  <c r="G20" i="13"/>
  <c r="G11" i="14"/>
  <c r="G11" i="13"/>
  <c r="G28" i="14"/>
  <c r="G28" i="13"/>
  <c r="G13" i="14"/>
  <c r="G13" i="13"/>
  <c r="G25" i="14"/>
  <c r="G25" i="13"/>
  <c r="G21" i="14"/>
  <c r="G21" i="13"/>
  <c r="G10" i="14"/>
  <c r="G10" i="13"/>
  <c r="G18" i="14"/>
  <c r="G18" i="13"/>
  <c r="G9" i="14"/>
  <c r="G9" i="13"/>
  <c r="G23" i="14"/>
  <c r="G23" i="13"/>
  <c r="G26" i="14"/>
  <c r="G26" i="13"/>
  <c r="G24" i="14"/>
  <c r="G24" i="13"/>
  <c r="G27" i="14"/>
  <c r="G27" i="13"/>
  <c r="G12" i="14"/>
  <c r="G12" i="13"/>
  <c r="G17" i="14"/>
  <c r="G17" i="13"/>
  <c r="G15" i="14"/>
  <c r="G15" i="13"/>
  <c r="R10" i="4"/>
  <c r="R18" i="4"/>
  <c r="R12" i="4"/>
  <c r="R17" i="4"/>
  <c r="R15" i="4"/>
  <c r="R13" i="4"/>
  <c r="R16" i="4"/>
  <c r="R9" i="4"/>
  <c r="R14" i="4"/>
  <c r="R11" i="4"/>
  <c r="R26" i="4"/>
  <c r="R19" i="4"/>
  <c r="R20" i="4"/>
  <c r="Q29" i="4"/>
  <c r="R28" i="4"/>
  <c r="R24" i="4"/>
  <c r="R25" i="4"/>
  <c r="R23" i="4"/>
  <c r="R22" i="4"/>
  <c r="R27" i="4"/>
  <c r="R21" i="4"/>
  <c r="H15" i="13" l="1"/>
  <c r="I15" i="13"/>
  <c r="J15" i="13" s="1"/>
  <c r="AG16" i="3" s="1"/>
  <c r="H23" i="13"/>
  <c r="I23" i="13"/>
  <c r="J23" i="13" s="1"/>
  <c r="AG24" i="3" s="1"/>
  <c r="I18" i="13"/>
  <c r="J18" i="13" s="1"/>
  <c r="AG19" i="3" s="1"/>
  <c r="H18" i="13"/>
  <c r="I21" i="13"/>
  <c r="J21" i="13" s="1"/>
  <c r="AG22" i="3" s="1"/>
  <c r="H21" i="13"/>
  <c r="H13" i="13"/>
  <c r="I13" i="13"/>
  <c r="J13" i="13" s="1"/>
  <c r="AG14" i="3" s="1"/>
  <c r="I11" i="13"/>
  <c r="J11" i="13" s="1"/>
  <c r="AG12" i="3" s="1"/>
  <c r="H11" i="13"/>
  <c r="U23" i="4"/>
  <c r="S24" i="3" s="1"/>
  <c r="S23" i="4"/>
  <c r="T23" i="4" s="1"/>
  <c r="T24" i="3" s="1"/>
  <c r="AD24" i="3"/>
  <c r="AF24" i="3"/>
  <c r="U11" i="4"/>
  <c r="S12" i="3" s="1"/>
  <c r="S11" i="4"/>
  <c r="T11" i="4" s="1"/>
  <c r="T12" i="3" s="1"/>
  <c r="AF12" i="3"/>
  <c r="AD12" i="3"/>
  <c r="U9" i="4"/>
  <c r="S10" i="3" s="1"/>
  <c r="S9" i="4"/>
  <c r="T9" i="4" s="1"/>
  <c r="T10" i="3" s="1"/>
  <c r="AF10" i="3"/>
  <c r="AD10" i="3"/>
  <c r="U13" i="4"/>
  <c r="S14" i="3" s="1"/>
  <c r="S13" i="4"/>
  <c r="T13" i="4" s="1"/>
  <c r="T14" i="3" s="1"/>
  <c r="AF14" i="3"/>
  <c r="AD14" i="3"/>
  <c r="U18" i="4"/>
  <c r="S19" i="3" s="1"/>
  <c r="S18" i="4"/>
  <c r="T18" i="4" s="1"/>
  <c r="T19" i="3" s="1"/>
  <c r="AD19" i="3"/>
  <c r="AF19" i="3"/>
  <c r="I15" i="14"/>
  <c r="J15" i="14" s="1"/>
  <c r="AE16" i="3" s="1"/>
  <c r="H15" i="14"/>
  <c r="L15" i="14" s="1"/>
  <c r="N15" i="14" s="1"/>
  <c r="I12" i="14"/>
  <c r="J12" i="14" s="1"/>
  <c r="AE13" i="3" s="1"/>
  <c r="H12" i="14"/>
  <c r="L12" i="14" s="1"/>
  <c r="N12" i="14" s="1"/>
  <c r="I24" i="14"/>
  <c r="J24" i="14" s="1"/>
  <c r="AE25" i="3" s="1"/>
  <c r="H24" i="14"/>
  <c r="L24" i="14" s="1"/>
  <c r="N24" i="14" s="1"/>
  <c r="I23" i="14"/>
  <c r="J23" i="14" s="1"/>
  <c r="AE24" i="3" s="1"/>
  <c r="H23" i="14"/>
  <c r="L23" i="14" s="1"/>
  <c r="N23" i="14" s="1"/>
  <c r="I18" i="14"/>
  <c r="J18" i="14" s="1"/>
  <c r="AE19" i="3" s="1"/>
  <c r="H18" i="14"/>
  <c r="L18" i="14" s="1"/>
  <c r="N18" i="14" s="1"/>
  <c r="I21" i="14"/>
  <c r="J21" i="14" s="1"/>
  <c r="AE22" i="3" s="1"/>
  <c r="H21" i="14"/>
  <c r="L21" i="14" s="1"/>
  <c r="N21" i="14" s="1"/>
  <c r="I13" i="14"/>
  <c r="J13" i="14" s="1"/>
  <c r="AE14" i="3" s="1"/>
  <c r="H13" i="14"/>
  <c r="L13" i="14" s="1"/>
  <c r="N13" i="14" s="1"/>
  <c r="I11" i="14"/>
  <c r="J11" i="14" s="1"/>
  <c r="AE12" i="3" s="1"/>
  <c r="H11" i="14"/>
  <c r="L11" i="14" s="1"/>
  <c r="N11" i="14" s="1"/>
  <c r="I16" i="14"/>
  <c r="J16" i="14" s="1"/>
  <c r="AE17" i="3" s="1"/>
  <c r="H16" i="14"/>
  <c r="L16" i="14" s="1"/>
  <c r="N16" i="14" s="1"/>
  <c r="I14" i="14"/>
  <c r="J14" i="14" s="1"/>
  <c r="AE15" i="3" s="1"/>
  <c r="H14" i="14"/>
  <c r="L14" i="14" s="1"/>
  <c r="N14" i="14" s="1"/>
  <c r="U17" i="4"/>
  <c r="S18" i="3" s="1"/>
  <c r="S17" i="4"/>
  <c r="T17" i="4" s="1"/>
  <c r="T18" i="3" s="1"/>
  <c r="AF18" i="3"/>
  <c r="AD18" i="3"/>
  <c r="H24" i="13"/>
  <c r="I24" i="13"/>
  <c r="J24" i="13" s="1"/>
  <c r="AG25" i="3" s="1"/>
  <c r="H14" i="13"/>
  <c r="I14" i="13"/>
  <c r="J14" i="13" s="1"/>
  <c r="AG15" i="3" s="1"/>
  <c r="U27" i="4"/>
  <c r="S28" i="3" s="1"/>
  <c r="S27" i="4"/>
  <c r="T27" i="4" s="1"/>
  <c r="T28" i="3" s="1"/>
  <c r="AD28" i="3"/>
  <c r="AF28" i="3"/>
  <c r="U20" i="4"/>
  <c r="S21" i="3" s="1"/>
  <c r="S20" i="4"/>
  <c r="T20" i="4" s="1"/>
  <c r="T21" i="3" s="1"/>
  <c r="AD21" i="3"/>
  <c r="AF21" i="3"/>
  <c r="U26" i="4"/>
  <c r="S27" i="3" s="1"/>
  <c r="S26" i="4"/>
  <c r="T26" i="4" s="1"/>
  <c r="T27" i="3" s="1"/>
  <c r="AD27" i="3"/>
  <c r="AF27" i="3"/>
  <c r="U14" i="4"/>
  <c r="S15" i="3" s="1"/>
  <c r="S14" i="4"/>
  <c r="T14" i="4" s="1"/>
  <c r="T15" i="3" s="1"/>
  <c r="AF15" i="3"/>
  <c r="AD15" i="3"/>
  <c r="U16" i="4"/>
  <c r="S17" i="3" s="1"/>
  <c r="S16" i="4"/>
  <c r="T16" i="4" s="1"/>
  <c r="T17" i="3" s="1"/>
  <c r="AF17" i="3"/>
  <c r="AD17" i="3"/>
  <c r="H17" i="13"/>
  <c r="I17" i="13"/>
  <c r="J17" i="13" s="1"/>
  <c r="AG18" i="3" s="1"/>
  <c r="H27" i="13"/>
  <c r="I27" i="13"/>
  <c r="J27" i="13" s="1"/>
  <c r="AG28" i="3" s="1"/>
  <c r="H26" i="13"/>
  <c r="I26" i="13"/>
  <c r="J26" i="13" s="1"/>
  <c r="AG27" i="3" s="1"/>
  <c r="I9" i="13"/>
  <c r="H9" i="13"/>
  <c r="I10" i="13"/>
  <c r="J10" i="13" s="1"/>
  <c r="AG11" i="3" s="1"/>
  <c r="H10" i="13"/>
  <c r="I25" i="13"/>
  <c r="J25" i="13" s="1"/>
  <c r="AG26" i="3" s="1"/>
  <c r="H25" i="13"/>
  <c r="I28" i="13"/>
  <c r="J28" i="13" s="1"/>
  <c r="AG29" i="3" s="1"/>
  <c r="H28" i="13"/>
  <c r="I20" i="13"/>
  <c r="J20" i="13" s="1"/>
  <c r="AG21" i="3" s="1"/>
  <c r="H20" i="13"/>
  <c r="I19" i="13"/>
  <c r="J19" i="13" s="1"/>
  <c r="AG20" i="3" s="1"/>
  <c r="H19" i="13"/>
  <c r="I22" i="13"/>
  <c r="J22" i="13" s="1"/>
  <c r="AG23" i="3" s="1"/>
  <c r="H22" i="13"/>
  <c r="U19" i="4"/>
  <c r="S20" i="3" s="1"/>
  <c r="S19" i="4"/>
  <c r="T19" i="4" s="1"/>
  <c r="T20" i="3" s="1"/>
  <c r="AD20" i="3"/>
  <c r="AF20" i="3"/>
  <c r="H12" i="13"/>
  <c r="I12" i="13"/>
  <c r="J12" i="13" s="1"/>
  <c r="AG13" i="3" s="1"/>
  <c r="I16" i="13"/>
  <c r="J16" i="13" s="1"/>
  <c r="AG17" i="3" s="1"/>
  <c r="H16" i="13"/>
  <c r="U24" i="4"/>
  <c r="S25" i="3" s="1"/>
  <c r="S24" i="4"/>
  <c r="T24" i="4" s="1"/>
  <c r="T25" i="3" s="1"/>
  <c r="AF25" i="3"/>
  <c r="AD25" i="3"/>
  <c r="U21" i="4"/>
  <c r="S22" i="3" s="1"/>
  <c r="S21" i="4"/>
  <c r="T21" i="4" s="1"/>
  <c r="T22" i="3" s="1"/>
  <c r="AD22" i="3"/>
  <c r="AF22" i="3"/>
  <c r="U22" i="4"/>
  <c r="S23" i="3" s="1"/>
  <c r="S22" i="4"/>
  <c r="T22" i="4" s="1"/>
  <c r="T23" i="3" s="1"/>
  <c r="AF23" i="3"/>
  <c r="AD23" i="3"/>
  <c r="U25" i="4"/>
  <c r="S26" i="3" s="1"/>
  <c r="S25" i="4"/>
  <c r="T25" i="4" s="1"/>
  <c r="T26" i="3" s="1"/>
  <c r="AF26" i="3"/>
  <c r="AD26" i="3"/>
  <c r="U28" i="4"/>
  <c r="S29" i="3" s="1"/>
  <c r="S28" i="4"/>
  <c r="T28" i="4" s="1"/>
  <c r="T29" i="3" s="1"/>
  <c r="AD29" i="3"/>
  <c r="AF29" i="3"/>
  <c r="U15" i="4"/>
  <c r="S16" i="3" s="1"/>
  <c r="S15" i="4"/>
  <c r="T15" i="4" s="1"/>
  <c r="T16" i="3" s="1"/>
  <c r="AF16" i="3"/>
  <c r="AD16" i="3"/>
  <c r="U12" i="4"/>
  <c r="S13" i="3" s="1"/>
  <c r="S12" i="4"/>
  <c r="T12" i="4" s="1"/>
  <c r="T13" i="3" s="1"/>
  <c r="AD13" i="3"/>
  <c r="AF13" i="3"/>
  <c r="U10" i="4"/>
  <c r="S11" i="3" s="1"/>
  <c r="S10" i="4"/>
  <c r="T10" i="4" s="1"/>
  <c r="T11" i="3" s="1"/>
  <c r="AD11" i="3"/>
  <c r="AF11" i="3"/>
  <c r="AF30" i="3" s="1"/>
  <c r="I17" i="14"/>
  <c r="J17" i="14" s="1"/>
  <c r="AE18" i="3" s="1"/>
  <c r="H17" i="14"/>
  <c r="L17" i="14" s="1"/>
  <c r="N17" i="14" s="1"/>
  <c r="I27" i="14"/>
  <c r="J27" i="14" s="1"/>
  <c r="AE28" i="3" s="1"/>
  <c r="H27" i="14"/>
  <c r="L27" i="14" s="1"/>
  <c r="N27" i="14" s="1"/>
  <c r="I26" i="14"/>
  <c r="J26" i="14" s="1"/>
  <c r="AE27" i="3" s="1"/>
  <c r="H26" i="14"/>
  <c r="L26" i="14" s="1"/>
  <c r="N26" i="14" s="1"/>
  <c r="I9" i="14"/>
  <c r="J9" i="14" s="1"/>
  <c r="H9" i="14"/>
  <c r="L9" i="14" s="1"/>
  <c r="N9" i="14" s="1"/>
  <c r="N29" i="14" s="1"/>
  <c r="I10" i="14"/>
  <c r="J10" i="14" s="1"/>
  <c r="AE11" i="3" s="1"/>
  <c r="H10" i="14"/>
  <c r="L10" i="14" s="1"/>
  <c r="N10" i="14" s="1"/>
  <c r="I25" i="14"/>
  <c r="J25" i="14" s="1"/>
  <c r="AE26" i="3" s="1"/>
  <c r="H25" i="14"/>
  <c r="L25" i="14" s="1"/>
  <c r="N25" i="14" s="1"/>
  <c r="I28" i="14"/>
  <c r="J28" i="14" s="1"/>
  <c r="AE29" i="3" s="1"/>
  <c r="H28" i="14"/>
  <c r="L28" i="14" s="1"/>
  <c r="N28" i="14" s="1"/>
  <c r="I20" i="14"/>
  <c r="J20" i="14" s="1"/>
  <c r="AE21" i="3" s="1"/>
  <c r="H20" i="14"/>
  <c r="L20" i="14" s="1"/>
  <c r="N20" i="14" s="1"/>
  <c r="I19" i="14"/>
  <c r="J19" i="14" s="1"/>
  <c r="AE20" i="3" s="1"/>
  <c r="H19" i="14"/>
  <c r="L19" i="14" s="1"/>
  <c r="N19" i="14" s="1"/>
  <c r="I22" i="14"/>
  <c r="J22" i="14" s="1"/>
  <c r="AE23" i="3" s="1"/>
  <c r="H22" i="14"/>
  <c r="L22" i="14" s="1"/>
  <c r="N22" i="14" s="1"/>
  <c r="R29" i="4"/>
  <c r="U29" i="4" s="1"/>
  <c r="AC30" i="3"/>
  <c r="W30" i="3"/>
  <c r="I30" i="3"/>
  <c r="J26" i="3" s="1"/>
  <c r="K26" i="3" s="1"/>
  <c r="E30" i="3"/>
  <c r="B30" i="3"/>
  <c r="J29" i="3"/>
  <c r="K29" i="3" s="1"/>
  <c r="L29" i="3" s="1"/>
  <c r="C29" i="3"/>
  <c r="C28" i="3"/>
  <c r="C27" i="3"/>
  <c r="D26" i="3"/>
  <c r="F26" i="3" s="1"/>
  <c r="G26" i="3" s="1"/>
  <c r="H26" i="3" s="1"/>
  <c r="C26" i="3"/>
  <c r="C25" i="3"/>
  <c r="D24" i="3"/>
  <c r="F24" i="3" s="1"/>
  <c r="G24" i="3" s="1"/>
  <c r="H24" i="3" s="1"/>
  <c r="C24" i="3"/>
  <c r="C23" i="3"/>
  <c r="D22" i="3"/>
  <c r="F22" i="3" s="1"/>
  <c r="G22" i="3" s="1"/>
  <c r="H22" i="3" s="1"/>
  <c r="C22" i="3"/>
  <c r="C21" i="3"/>
  <c r="S30" i="3"/>
  <c r="AD30" i="3" l="1"/>
  <c r="AE10" i="3"/>
  <c r="AE30" i="3" s="1"/>
  <c r="J29" i="14"/>
  <c r="T29" i="4"/>
  <c r="J21" i="3"/>
  <c r="K21" i="3" s="1"/>
  <c r="L21" i="3" s="1"/>
  <c r="J22" i="3"/>
  <c r="K22" i="3" s="1"/>
  <c r="J25" i="3"/>
  <c r="K25" i="3" s="1"/>
  <c r="L25" i="3" s="1"/>
  <c r="J28" i="3"/>
  <c r="K28" i="3" s="1"/>
  <c r="J23" i="3"/>
  <c r="K23" i="3" s="1"/>
  <c r="L23" i="3" s="1"/>
  <c r="J24" i="3"/>
  <c r="K24" i="3" s="1"/>
  <c r="J27" i="3"/>
  <c r="K27" i="3" s="1"/>
  <c r="L27" i="3" s="1"/>
  <c r="D10" i="3"/>
  <c r="D12" i="3"/>
  <c r="F12" i="3" s="1"/>
  <c r="G12" i="3" s="1"/>
  <c r="H12" i="3" s="1"/>
  <c r="D14" i="3"/>
  <c r="F14" i="3" s="1"/>
  <c r="G14" i="3" s="1"/>
  <c r="H14" i="3" s="1"/>
  <c r="D16" i="3"/>
  <c r="F16" i="3" s="1"/>
  <c r="G16" i="3" s="1"/>
  <c r="H16" i="3" s="1"/>
  <c r="D18" i="3"/>
  <c r="F18" i="3" s="1"/>
  <c r="G18" i="3" s="1"/>
  <c r="H18" i="3" s="1"/>
  <c r="D20" i="3"/>
  <c r="F20" i="3" s="1"/>
  <c r="G20" i="3" s="1"/>
  <c r="H20" i="3" s="1"/>
  <c r="D11" i="3"/>
  <c r="F11" i="3" s="1"/>
  <c r="G11" i="3" s="1"/>
  <c r="H11" i="3" s="1"/>
  <c r="D13" i="3"/>
  <c r="F13" i="3" s="1"/>
  <c r="G13" i="3" s="1"/>
  <c r="H13" i="3" s="1"/>
  <c r="D15" i="3"/>
  <c r="F15" i="3" s="1"/>
  <c r="G15" i="3" s="1"/>
  <c r="H15" i="3" s="1"/>
  <c r="D17" i="3"/>
  <c r="F17" i="3" s="1"/>
  <c r="G17" i="3" s="1"/>
  <c r="H17" i="3" s="1"/>
  <c r="D19" i="3"/>
  <c r="F19" i="3" s="1"/>
  <c r="G19" i="3" s="1"/>
  <c r="H19" i="3" s="1"/>
  <c r="D23" i="3"/>
  <c r="F23" i="3" s="1"/>
  <c r="G23" i="3" s="1"/>
  <c r="H23" i="3" s="1"/>
  <c r="D27" i="3"/>
  <c r="F27" i="3" s="1"/>
  <c r="G27" i="3" s="1"/>
  <c r="H27" i="3" s="1"/>
  <c r="J10" i="3"/>
  <c r="J11" i="3"/>
  <c r="K11" i="3" s="1"/>
  <c r="J12" i="3"/>
  <c r="K12" i="3" s="1"/>
  <c r="J13" i="3"/>
  <c r="K13" i="3" s="1"/>
  <c r="J14" i="3"/>
  <c r="K14" i="3" s="1"/>
  <c r="J15" i="3"/>
  <c r="K15" i="3" s="1"/>
  <c r="J16" i="3"/>
  <c r="K16" i="3" s="1"/>
  <c r="J17" i="3"/>
  <c r="K17" i="3" s="1"/>
  <c r="J18" i="3"/>
  <c r="K18" i="3" s="1"/>
  <c r="J19" i="3"/>
  <c r="K19" i="3" s="1"/>
  <c r="J20" i="3"/>
  <c r="K20" i="3" s="1"/>
  <c r="D28" i="3"/>
  <c r="F28" i="3" s="1"/>
  <c r="G28" i="3" s="1"/>
  <c r="H28" i="3" s="1"/>
  <c r="D21" i="3"/>
  <c r="F21" i="3" s="1"/>
  <c r="G21" i="3" s="1"/>
  <c r="H21" i="3" s="1"/>
  <c r="M21" i="3" s="1"/>
  <c r="D25" i="3"/>
  <c r="F25" i="3" s="1"/>
  <c r="G25" i="3" s="1"/>
  <c r="H25" i="3" s="1"/>
  <c r="D29" i="3"/>
  <c r="F29" i="3" s="1"/>
  <c r="G29" i="3" s="1"/>
  <c r="H29" i="3" s="1"/>
  <c r="M29" i="3" s="1"/>
  <c r="C30" i="3"/>
  <c r="N22" i="3"/>
  <c r="O22" i="3" s="1"/>
  <c r="N26" i="3"/>
  <c r="O26" i="3" s="1"/>
  <c r="N28" i="3"/>
  <c r="O28" i="3" s="1"/>
  <c r="N24" i="3"/>
  <c r="O24" i="3" s="1"/>
  <c r="N21" i="3"/>
  <c r="O21" i="3" s="1"/>
  <c r="L22" i="3"/>
  <c r="M22" i="3" s="1"/>
  <c r="N23" i="3"/>
  <c r="O23" i="3" s="1"/>
  <c r="L24" i="3"/>
  <c r="L26" i="3"/>
  <c r="M26" i="3" s="1"/>
  <c r="N27" i="3"/>
  <c r="O27" i="3" s="1"/>
  <c r="L28" i="3"/>
  <c r="M23" i="3" l="1"/>
  <c r="N29" i="3"/>
  <c r="O29" i="3" s="1"/>
  <c r="M27" i="3"/>
  <c r="M25" i="3"/>
  <c r="N25" i="3"/>
  <c r="O25" i="3" s="1"/>
  <c r="M28" i="3"/>
  <c r="L20" i="3"/>
  <c r="M20" i="3" s="1"/>
  <c r="N20" i="3"/>
  <c r="O20" i="3" s="1"/>
  <c r="L16" i="3"/>
  <c r="M16" i="3" s="1"/>
  <c r="N16" i="3"/>
  <c r="O16" i="3" s="1"/>
  <c r="L12" i="3"/>
  <c r="M12" i="3" s="1"/>
  <c r="N12" i="3"/>
  <c r="O12" i="3" s="1"/>
  <c r="L19" i="3"/>
  <c r="M19" i="3" s="1"/>
  <c r="N19" i="3"/>
  <c r="O19" i="3" s="1"/>
  <c r="L15" i="3"/>
  <c r="M15" i="3" s="1"/>
  <c r="N15" i="3"/>
  <c r="O15" i="3" s="1"/>
  <c r="L11" i="3"/>
  <c r="M11" i="3" s="1"/>
  <c r="N11" i="3"/>
  <c r="O11" i="3" s="1"/>
  <c r="K10" i="3"/>
  <c r="J30" i="3"/>
  <c r="N18" i="3"/>
  <c r="O18" i="3" s="1"/>
  <c r="L18" i="3"/>
  <c r="M18" i="3" s="1"/>
  <c r="N14" i="3"/>
  <c r="O14" i="3" s="1"/>
  <c r="L14" i="3"/>
  <c r="M14" i="3" s="1"/>
  <c r="N17" i="3"/>
  <c r="O17" i="3" s="1"/>
  <c r="L17" i="3"/>
  <c r="M17" i="3" s="1"/>
  <c r="N13" i="3"/>
  <c r="O13" i="3" s="1"/>
  <c r="L13" i="3"/>
  <c r="M13" i="3" s="1"/>
  <c r="F10" i="3"/>
  <c r="G10" i="3" s="1"/>
  <c r="D30" i="3"/>
  <c r="F30" i="3" s="1"/>
  <c r="M24" i="3"/>
  <c r="H10" i="3" l="1"/>
  <c r="H30" i="3" s="1"/>
  <c r="G30" i="3"/>
  <c r="L10" i="3"/>
  <c r="N10" i="3"/>
  <c r="K30" i="3"/>
  <c r="O10" i="3" l="1"/>
  <c r="N30" i="3"/>
  <c r="M10" i="3"/>
  <c r="L30" i="3"/>
  <c r="M30" i="3" s="1"/>
  <c r="O30" i="3" l="1"/>
  <c r="P10" i="3" s="1"/>
  <c r="Q10" i="3" l="1"/>
  <c r="P16" i="3"/>
  <c r="Q16" i="3" s="1"/>
  <c r="R16" i="3" s="1"/>
  <c r="P19" i="3"/>
  <c r="Q19" i="3" s="1"/>
  <c r="R19" i="3" s="1"/>
  <c r="P18" i="3"/>
  <c r="Q18" i="3" s="1"/>
  <c r="R18" i="3" s="1"/>
  <c r="P12" i="3"/>
  <c r="Q12" i="3" s="1"/>
  <c r="R12" i="3" s="1"/>
  <c r="P13" i="3"/>
  <c r="Q13" i="3" s="1"/>
  <c r="R13" i="3" s="1"/>
  <c r="P17" i="3"/>
  <c r="Q17" i="3" s="1"/>
  <c r="R17" i="3" s="1"/>
  <c r="P20" i="3"/>
  <c r="Q20" i="3" s="1"/>
  <c r="R20" i="3" s="1"/>
  <c r="P15" i="3"/>
  <c r="Q15" i="3" s="1"/>
  <c r="R15" i="3" s="1"/>
  <c r="P11" i="3"/>
  <c r="Q11" i="3" s="1"/>
  <c r="R11" i="3" s="1"/>
  <c r="P14" i="3"/>
  <c r="Q14" i="3" s="1"/>
  <c r="R14" i="3" s="1"/>
  <c r="P22" i="3"/>
  <c r="Q22" i="3" s="1"/>
  <c r="R22" i="3" s="1"/>
  <c r="P25" i="3"/>
  <c r="Q25" i="3" s="1"/>
  <c r="R25" i="3" s="1"/>
  <c r="P23" i="3"/>
  <c r="Q23" i="3" s="1"/>
  <c r="R23" i="3" s="1"/>
  <c r="P28" i="3"/>
  <c r="Q28" i="3" s="1"/>
  <c r="R28" i="3" s="1"/>
  <c r="P26" i="3"/>
  <c r="Q26" i="3" s="1"/>
  <c r="R26" i="3" s="1"/>
  <c r="P27" i="3"/>
  <c r="Q27" i="3" s="1"/>
  <c r="R27" i="3" s="1"/>
  <c r="P21" i="3"/>
  <c r="Q21" i="3" s="1"/>
  <c r="R21" i="3" s="1"/>
  <c r="P24" i="3"/>
  <c r="Q24" i="3" s="1"/>
  <c r="R24" i="3" s="1"/>
  <c r="P29" i="3"/>
  <c r="Q29" i="3" s="1"/>
  <c r="R29" i="3" s="1"/>
  <c r="T30" i="3"/>
  <c r="R10" i="3" l="1"/>
  <c r="R30" i="3" s="1"/>
  <c r="Q30" i="3"/>
  <c r="P30" i="3"/>
  <c r="J9" i="13"/>
  <c r="K9" i="8"/>
  <c r="K29" i="8" s="1"/>
  <c r="J29" i="13" l="1"/>
  <c r="AG10" i="3"/>
  <c r="AG30" i="3" s="1"/>
  <c r="Y10" i="3"/>
  <c r="Y30" i="3" s="1"/>
</calcChain>
</file>

<file path=xl/sharedStrings.xml><?xml version="1.0" encoding="utf-8"?>
<sst xmlns="http://schemas.openxmlformats.org/spreadsheetml/2006/main" count="1196" uniqueCount="400">
  <si>
    <t>FONDO GENERAL DE PARTICIPACIONES</t>
  </si>
  <si>
    <t>ENERO</t>
  </si>
  <si>
    <t>FEBRERO</t>
  </si>
  <si>
    <t>01</t>
  </si>
  <si>
    <t>MARZO</t>
  </si>
  <si>
    <t>05</t>
  </si>
  <si>
    <t>07</t>
  </si>
  <si>
    <t>ABRIL</t>
  </si>
  <si>
    <t>04</t>
  </si>
  <si>
    <t>06</t>
  </si>
  <si>
    <t>MAYO</t>
  </si>
  <si>
    <t>03</t>
  </si>
  <si>
    <t>JUNIO</t>
  </si>
  <si>
    <t>JULIO</t>
  </si>
  <si>
    <t>02</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</si>
  <si>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</si>
  <si>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</si>
  <si>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</si>
  <si>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</si>
  <si>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</si>
  <si>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</si>
  <si>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</si>
  <si>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</si>
  <si>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</si>
  <si>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</si>
  <si>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</si>
  <si>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</si>
  <si>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</si>
  <si>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</si>
  <si>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</si>
  <si>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</si>
  <si>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</si>
  <si>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</si>
  <si>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</si>
  <si>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</si>
  <si>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</si>
  <si>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</si>
  <si>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</si>
  <si>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</si>
  <si>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</si>
  <si>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</si>
  <si>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</si>
  <si>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</si>
  <si>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</si>
  <si>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</si>
  <si>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</si>
  <si>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</si>
  <si>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</si>
  <si>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</si>
  <si>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</si>
  <si>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</si>
  <si>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</si>
  <si>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</si>
  <si>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</si>
  <si>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</si>
  <si>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</si>
  <si>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</si>
  <si>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</si>
  <si>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</si>
  <si>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</si>
  <si>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</si>
  <si>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</si>
  <si>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</si>
  <si>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</si>
  <si>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</si>
  <si>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</si>
  <si>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</si>
  <si>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</si>
  <si>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</si>
  <si>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</si>
  <si>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</si>
  <si>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</si>
  <si>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</si>
  <si>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</si>
  <si>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</si>
  <si>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</si>
  <si>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</si>
  <si>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SUMA DE COEFICIENTES  EFECTIVOS  PARA 2018</t>
  </si>
  <si>
    <t>Población</t>
  </si>
  <si>
    <t>Intercensal 2015</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</si>
  <si>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</si>
  <si>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</si>
  <si>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</si>
  <si>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</si>
  <si>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</si>
  <si>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</si>
  <si>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</si>
  <si>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</si>
  <si>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</si>
  <si>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</si>
  <si>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</si>
  <si>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</si>
  <si>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</si>
  <si>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</si>
  <si>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</si>
  <si>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</si>
  <si>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</si>
  <si>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</si>
  <si>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</si>
  <si>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</si>
  <si>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</si>
  <si>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</si>
  <si>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</si>
  <si>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</si>
  <si>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</si>
  <si>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</si>
  <si>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</si>
  <si>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</si>
  <si>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</si>
  <si>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</si>
  <si>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</si>
  <si>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</si>
  <si>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</si>
  <si>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</si>
  <si>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</si>
  <si>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</si>
  <si>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</si>
  <si>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</si>
  <si>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</si>
  <si>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</si>
  <si>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</si>
  <si>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</si>
  <si>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</si>
  <si>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</si>
  <si>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</si>
  <si>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</si>
  <si>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</si>
  <si>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</si>
  <si>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</si>
  <si>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</si>
  <si>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</si>
  <si>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</si>
  <si>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</si>
  <si>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</si>
  <si>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</si>
  <si>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</si>
  <si>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</si>
  <si>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</si>
  <si>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</si>
  <si>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</si>
  <si>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</si>
  <si>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</si>
  <si>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</si>
  <si>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</si>
  <si>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</si>
  <si>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</si>
  <si>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</si>
  <si>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</si>
  <si>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</si>
  <si>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</si>
  <si>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</si>
  <si>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</si>
  <si>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</si>
  <si>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</si>
  <si>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</si>
  <si>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</si>
  <si>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</si>
  <si>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</si>
  <si>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</si>
  <si>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</si>
  <si>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</si>
  <si>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</si>
  <si>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</si>
  <si>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</si>
  <si>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</si>
  <si>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</si>
  <si>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</si>
  <si>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</si>
  <si>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</si>
  <si>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</si>
  <si>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</si>
  <si>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</si>
  <si>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</si>
  <si>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</si>
  <si>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</si>
  <si>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</si>
  <si>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</si>
  <si>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</si>
  <si>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</si>
  <si>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 xml:space="preserve"> Encuesta Intercensal  de Población y Vivienda  2015</t>
  </si>
  <si>
    <t>fuente:</t>
  </si>
  <si>
    <t>Encuesta Intercensal 2015 Publicada en el Portal del INEGI 08 de Dic 2015</t>
  </si>
  <si>
    <t>Cuadro 9</t>
  </si>
  <si>
    <t>para el 2015</t>
  </si>
  <si>
    <t>7=(2+4+6)</t>
  </si>
  <si>
    <t>8</t>
  </si>
  <si>
    <t>Cuadro No. 1</t>
  </si>
  <si>
    <t>Recaudación Federal Participable Aplicable para el Calculo de las Participaciones a los Municipios</t>
  </si>
  <si>
    <t>Mes de:                                       2019</t>
  </si>
  <si>
    <t>CONCEPTO</t>
  </si>
  <si>
    <t xml:space="preserve">Fondo General de Participaciones </t>
  </si>
  <si>
    <t>Fondo General de Participaciones recibido en la Entidad 2019 (determinado por Hacienda)</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</si>
  <si>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</si>
  <si>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</si>
  <si>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</si>
  <si>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</si>
  <si>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</si>
  <si>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</si>
  <si>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recibido en la Entidad 2019 (determinado por Hacienda)</t>
  </si>
  <si>
    <t>Fondo de Fomento Municipal base 2014 (recibido y distribuido en el 2014)</t>
  </si>
  <si>
    <t>Crecimiento del Fondo de Fomento Municipal 2019 (1-2)</t>
  </si>
  <si>
    <t>Fondo de Fomento Municipal base de Distribución (3 x 100%)</t>
  </si>
  <si>
    <t>10.1 Primera parte 60% del crecimiento 2019</t>
  </si>
  <si>
    <t>10.2 Segunda parte 30% del crecimiento 2019</t>
  </si>
  <si>
    <t>10.3 Tercera parte 10% del crecimiento 2019</t>
  </si>
  <si>
    <t>Suma (10.1 + 10.2 + 10 + 3) = (10)</t>
  </si>
  <si>
    <t>Total Fondo General de Participaciones a distribuir en 2019 (8 + 9)</t>
  </si>
  <si>
    <t>Fondo de Fiscalización y Recaudación</t>
  </si>
  <si>
    <t>Fondo de Fiscalizacion recibido en la Entidad 2019 (determinado por Hacienda)</t>
  </si>
  <si>
    <t>Fondo de Fiscalización base 2014 (recibido y distribuido en el 2014)</t>
  </si>
  <si>
    <t>Crecimiento del Fondo de Fiscalizacion en 2018 (9-10)</t>
  </si>
  <si>
    <t>Fondo de Compensacion</t>
  </si>
  <si>
    <t>Fondo de Compensacion recibido en la Entidad 2019 (determinado por Hacienda)</t>
  </si>
  <si>
    <t xml:space="preserve">Fondo del Impuesto sobre la Renta </t>
  </si>
  <si>
    <t>Fondo de Impuesto sobre la renta recibido en la Entidad 2019 (determinado por Hacienda)</t>
  </si>
  <si>
    <t>Fondo de Impuesto sobre la renta 2014 (recibido y distribuido en el 2014)</t>
  </si>
  <si>
    <t>Impuesto especial sobre producción y servicios (Tabaco y Alcohol)</t>
  </si>
  <si>
    <t>Impuesto Especial s/Producción y Servicios  recibido en la Entidad 2019 (determinado por Hacienda)</t>
  </si>
  <si>
    <t>Impuesto Especial s/Produccion y Servicios base (2014 (recibido y distribuido en el 2014)</t>
  </si>
  <si>
    <t>Crecimiento del Impuesto Especial s/Producción y Servicios en 2019 (18-19)</t>
  </si>
  <si>
    <t>Impuesto especial sobre producción y servicios por Gasolina y Diesel</t>
  </si>
  <si>
    <t>Impuesto Especial s/Producción y Servicios  (G y D)recibido en la Entidad 2019 (determinado por Hacienda)</t>
  </si>
  <si>
    <t>Crecimiento del Impuesto Especial s/Producción y Servicios en 2019 (21-22)</t>
  </si>
  <si>
    <t>Impuesto sobre Automoviles Nuevos ISAN</t>
  </si>
  <si>
    <t>Impuesto sobre automóviles nuevos ISAN, recibido en la Entidad 2019 (determinado por Hacienda)</t>
  </si>
  <si>
    <t>Impuesto sobre automoviles nuevos base 2014 (recibido y distribuido en el 2014)</t>
  </si>
  <si>
    <t>Crecimiento del Impuesto sobre Automóviles Nuevos ISAN en 2019 (24-25)</t>
  </si>
  <si>
    <t>Fondo de Compensacion sobre el ISAN</t>
  </si>
  <si>
    <t>Fondo de Compensacion sobre el ISAN, recibido en la Entidad 2019 (determinado por Hacienda)</t>
  </si>
  <si>
    <t>Fondo de Fiscalización sobre el ISAN base 2014 (recibido y distribuido en el 2014)</t>
  </si>
  <si>
    <t>Crecimiento del Fondo de Compensación del ISAN en 2019 (1-2)</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</si>
  <si>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</si>
  <si>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</si>
  <si>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</si>
  <si>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</si>
  <si>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</si>
  <si>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</si>
  <si>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</si>
  <si>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</si>
  <si>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</si>
  <si>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</si>
  <si>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</si>
  <si>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</si>
  <si>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Total a Distribuir por Crecimiento 2019</t>
  </si>
  <si>
    <t>Distribución x</t>
  </si>
  <si>
    <t>31</t>
  </si>
  <si>
    <t>15</t>
  </si>
  <si>
    <t>16</t>
  </si>
  <si>
    <t>14</t>
  </si>
  <si>
    <t>Total Fondo General de Participaciones a distribuir en 2019 (3 + 4)</t>
  </si>
  <si>
    <t>5.1 Primera parte 60% del crecimiento 2019</t>
  </si>
  <si>
    <t>5.2 Segunda parte 30% del crecimiento 2019</t>
  </si>
  <si>
    <t>5.3 Tercera parte 10% del crecimiento 2019</t>
  </si>
  <si>
    <t>Crecimiento del Fondo de Compensación en 2019 (12-13)</t>
  </si>
  <si>
    <t>Crecimiento del Fondo de ISR 2019 (15-16)</t>
  </si>
  <si>
    <t>Cuadro No.1</t>
  </si>
  <si>
    <t>Cálculo del Coeficiente de Participación Primera Parte del Fondo General de Participaciones (60%)</t>
  </si>
  <si>
    <t>C1</t>
  </si>
  <si>
    <t>(3=4/∑4)100</t>
  </si>
  <si>
    <t>(5=60%inc.F*3)</t>
  </si>
  <si>
    <t>Población: Censo Nacional de Población y Vivienda 2015 de INEGI</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</si>
  <si>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</si>
  <si>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</si>
  <si>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</si>
  <si>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</si>
  <si>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</si>
  <si>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</si>
  <si>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</si>
  <si>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</si>
  <si>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</si>
  <si>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</si>
  <si>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</si>
  <si>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</si>
  <si>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</si>
  <si>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</si>
  <si>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</si>
  <si>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</si>
  <si>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</si>
  <si>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</si>
  <si>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</si>
  <si>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</si>
  <si>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</si>
  <si>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</si>
  <si>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</si>
  <si>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</si>
  <si>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</si>
  <si>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</si>
  <si>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</si>
  <si>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</si>
  <si>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</si>
  <si>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</si>
  <si>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Crecimiento del IEPS  en 2019</t>
  </si>
  <si>
    <t>Factor de Distribución 2014</t>
  </si>
  <si>
    <t>Distribución Total del IEPS a Municipios</t>
  </si>
  <si>
    <t>Coeficiente de Participación</t>
  </si>
  <si>
    <t>Fondo General de Participaciones crecimiento 2019 (3-4)</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</si>
  <si>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</si>
  <si>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</si>
  <si>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</si>
  <si>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</si>
  <si>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</si>
  <si>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</si>
  <si>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</si>
  <si>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</si>
  <si>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</si>
  <si>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</si>
  <si>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</si>
  <si>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</si>
  <si>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</si>
  <si>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</si>
  <si>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</si>
  <si>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</si>
  <si>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</si>
  <si>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</si>
  <si>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Población 2015</t>
  </si>
  <si>
    <t>Resultado Variación por Población</t>
  </si>
  <si>
    <t>Crecimiento del FOFIR 2019</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</si>
  <si>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</si>
  <si>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</si>
  <si>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</si>
  <si>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</si>
  <si>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</si>
  <si>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</si>
  <si>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Población                                2015</t>
  </si>
  <si>
    <t>Fondo General de Participaciones</t>
  </si>
  <si>
    <t>Coeficiente Efectivo</t>
  </si>
  <si>
    <t>Importe</t>
  </si>
  <si>
    <t>Componente solo para los que Suscribieron Convenio para el Cobro de Predial</t>
  </si>
  <si>
    <t>Participaciones Especificas en el Impuesto Especial Sobre Producción y Servicios</t>
  </si>
  <si>
    <t>Estimación del Fondo de Compensación del Impuesto Sobre Automóviles Nuevos</t>
  </si>
  <si>
    <t>Estimación de los Incentivos por el Impuesto Sobre Automóviles Nuevos</t>
  </si>
  <si>
    <t>Estimación del Fondo General de Participaciones de 2019</t>
  </si>
  <si>
    <t>(Pesos)</t>
  </si>
  <si>
    <t xml:space="preserve">Estimación del Fondo de Fomento Municipal de 2019 </t>
  </si>
  <si>
    <t>Total Fondo de Fondo de Fomento Municipal 2019</t>
  </si>
  <si>
    <t>Estimación del las Participaciones Específicas en el Impuesto Especial Sobre Producción y Servicios de 2019</t>
  </si>
  <si>
    <t xml:space="preserve">Estimación del Fondo de Fiscalización y Recaudación de 2019 </t>
  </si>
  <si>
    <t>Estimación del Fondo de Compensación del  Impuesto Sobre Automóviles Nuevos de 2019</t>
  </si>
  <si>
    <t>Estimación de los Incentivos por el Impuesto Sobre Automóviles Nuevos de 2019</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</si>
  <si>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</si>
  <si>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</si>
  <si>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</si>
  <si>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</si>
  <si>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</si>
  <si>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</si>
  <si>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</si>
  <si>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</si>
  <si>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</si>
  <si>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</si>
  <si>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</si>
  <si>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</si>
  <si>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</si>
  <si>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</si>
  <si>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</si>
  <si>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Mes</t>
  </si>
  <si>
    <t>Impuesto sobre Tenencia o Uso de Vehículos e Impuesto Sobre Automóviles Nuevos</t>
  </si>
  <si>
    <t>Fecha Límite de Entrega</t>
  </si>
  <si>
    <t xml:space="preserve">Enero </t>
  </si>
  <si>
    <t>Febrero</t>
  </si>
  <si>
    <t>Marzo</t>
  </si>
  <si>
    <t>Abril</t>
  </si>
  <si>
    <t>Mayo</t>
  </si>
  <si>
    <t>Junio</t>
  </si>
  <si>
    <t>Julio</t>
  </si>
  <si>
    <t>Agosto</t>
  </si>
  <si>
    <t>Septiembre</t>
  </si>
  <si>
    <t>Octubre</t>
  </si>
  <si>
    <t>Noviembre</t>
  </si>
  <si>
    <t>Diciembre</t>
  </si>
  <si>
    <t xml:space="preserve">Octubre </t>
  </si>
  <si>
    <t>Enero</t>
  </si>
  <si>
    <t>Enero 2020</t>
  </si>
  <si>
    <t>Factor de Distribución</t>
  </si>
  <si>
    <t>FFM Estimado</t>
  </si>
  <si>
    <t>Distribución para el 2019</t>
  </si>
  <si>
    <t>Crecimiento en el Impuesto para 2019</t>
  </si>
  <si>
    <t>Factor de Distribución 2019</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</si>
  <si>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</si>
  <si>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</si>
  <si>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</si>
  <si>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</si>
  <si>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 xml:space="preserve"> POBLACION.-</t>
    </r>
    <r>
      <rPr>
        <i/>
        <sz val="9"/>
        <color theme="1"/>
        <rFont val="Arial"/>
        <family val="2"/>
      </rPr>
      <t xml:space="preserve"> Encuesta Intercensal de 2015. publicada el 8 de diciembre de 2015 en el Portal del INEGI </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</si>
  <si>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</si>
  <si>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Arial"/>
        <family val="2"/>
      </rPr>
      <t>FACTORES 2019.-</t>
    </r>
    <r>
      <rPr>
        <i/>
        <sz val="9"/>
        <color theme="1"/>
        <rFont val="Arial"/>
        <family val="2"/>
      </rPr>
      <t xml:space="preserve"> Decreto que establece los factores de distribución de las Participaciones Federales que en ingresos corresponden a los Municipios de la Entidad, para el ejercicio fiscal 2019. Publicado el 21 de diciembre de 2018.</t>
    </r>
  </si>
  <si>
    <r>
      <rPr>
        <b/>
        <i/>
        <sz val="9"/>
        <color theme="1"/>
        <rFont val="Calibri"/>
        <family val="2"/>
        <scheme val="minor"/>
      </rPr>
      <t xml:space="preserve"> POBLACION.-</t>
    </r>
    <r>
      <rPr>
        <i/>
        <sz val="9"/>
        <color theme="1"/>
        <rFont val="Calibri"/>
        <family val="2"/>
        <scheme val="minor"/>
      </rPr>
      <t xml:space="preserve"> Encuesta Intercensal de 2015. publicada el 8 de diciembre de 2015 en el Portal del INEGI </t>
    </r>
  </si>
  <si>
    <r>
      <rPr>
        <b/>
        <i/>
        <sz val="9"/>
        <color theme="1"/>
        <rFont val="Calibri"/>
        <family val="2"/>
        <scheme val="minor"/>
      </rPr>
      <t>PREDIAL Y AGUA.-</t>
    </r>
    <r>
      <rPr>
        <i/>
        <sz val="9"/>
        <color theme="1"/>
        <rFont val="Calibri"/>
        <family val="2"/>
        <scheme val="minor"/>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</si>
  <si>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Calibri"/>
        <family val="2"/>
        <scheme val="minor"/>
      </rPr>
      <t>FACTORES 2019.-</t>
    </r>
    <r>
      <rPr>
        <i/>
        <sz val="9"/>
        <color theme="1"/>
        <rFont val="Calibri"/>
        <family val="2"/>
        <scheme val="minor"/>
      </rPr>
      <t xml:space="preserve"> Decreto que establece los factores de distribución de las Participaciones Federales que en ingresos corresponden a los Municipios de la Entidad, para el ejercicio fiscal 2019. Publicado el 21 de diciembre de 2018.</t>
    </r>
  </si>
  <si>
    <t>(5=2+4)</t>
  </si>
  <si>
    <t>(6= 2+5)</t>
  </si>
  <si>
    <t>(6=5*.10)</t>
  </si>
  <si>
    <t>(8=2+4+7)</t>
  </si>
  <si>
    <t>(8=2+4+79</t>
  </si>
  <si>
    <t>FACTORES 2019.- Decreto que establece los factores de distribución de las Participaciones Federales que en ingresos corresponden a los Municipios de la Entidad, para el ejercicio fiscal 2019. Publicado el 21 de diciembre de 2018.</t>
  </si>
  <si>
    <t>Calendario de entrega de Participaciones Federales a los Municipios correspondiente al Ejercicio Fiscal 2019</t>
  </si>
  <si>
    <t>Fondo de Compensación del Impuesto Sobre Automóviles Nuevos</t>
  </si>
  <si>
    <t>Estimación de Participaciones Federales que Recibirán cada uno de los Veinte Municipios del Estado de Nayarit en el Ejercicio Fiscal 2019</t>
  </si>
  <si>
    <t>Participaciones Específicas en el Impuesto Especial Sobre Producción y Servicios</t>
  </si>
  <si>
    <t>Participaciones a la Venta Final de Gasolinas y Diesel de 2019</t>
  </si>
  <si>
    <t>Participaciones a la Venta Final de Gasolinas y Diésel</t>
  </si>
  <si>
    <t>Participaciones a la venta Final de Gasolinas y Diesel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</si>
</sst>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7" formatCode="&quot;$&quot;#,##0.00;\-&quot;$&quot;#,##0.00"/>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11"/>
      <color theme="1"/>
      <name val="Calibri"/>
      <family val="2"/>
      <scheme val="minor"/>
    </font>
    <font>
      <b/>
      <i/>
      <sz val="9"/>
      <color theme="1"/>
      <name val="Arial"/>
      <family val="2"/>
    </font>
    <font>
      <i/>
      <sz val="9"/>
      <color theme="3"/>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0" fontId="27" fillId="0" borderId="0"/>
    <xf numFmtId="0" fontId="27" fillId="0" borderId="0"/>
  </cellStyleXfs>
  <cellXfs count="866">
    <xf numFmtId="0" fontId="0" fillId="0" borderId="0" xfId="0"/>
    <xf numFmtId="0" fontId="3" fillId="0" borderId="0" xfId="0" applyFont="1" applyBorder="1" applyAlignment="1"/>
    <xf numFmtId="0" fontId="4" fillId="0" borderId="0" xfId="0" applyFont="1" applyBorder="1" applyAlignment="1">
      <alignment vertical="center"/>
    </xf>
    <xf numFmtId="0" fontId="4" fillId="0" borderId="0" xfId="0" applyFont="1" applyBorder="1" applyAlignment="1">
      <alignment vertical="distributed"/>
    </xf>
    <xf numFmtId="0" fontId="4" fillId="0" borderId="0" xfId="0" applyFont="1" applyBorder="1"/>
    <xf numFmtId="49" fontId="4" fillId="0" borderId="7" xfId="0" applyNumberFormat="1" applyFont="1" applyFill="1" applyBorder="1" applyAlignment="1">
      <alignment horizontal="right"/>
    </xf>
    <xf numFmtId="0" fontId="0" fillId="0" borderId="0" xfId="0" applyFill="1"/>
    <xf numFmtId="49" fontId="4" fillId="0" borderId="0" xfId="0" applyNumberFormat="1" applyFont="1" applyBorder="1" applyAlignment="1">
      <alignment horizontal="right"/>
    </xf>
    <xf numFmtId="49" fontId="4" fillId="0" borderId="9" xfId="0" applyNumberFormat="1" applyFont="1" applyFill="1" applyBorder="1" applyAlignment="1">
      <alignment horizontal="right"/>
    </xf>
    <xf numFmtId="49" fontId="4" fillId="0" borderId="12" xfId="0" applyNumberFormat="1" applyFont="1" applyFill="1" applyBorder="1" applyAlignment="1">
      <alignment horizontal="right"/>
    </xf>
    <xf numFmtId="49" fontId="4" fillId="0" borderId="0" xfId="0" applyNumberFormat="1" applyFont="1" applyBorder="1"/>
    <xf numFmtId="0" fontId="5" fillId="0" borderId="0" xfId="0" applyFont="1"/>
    <xf numFmtId="0" fontId="0" fillId="0" borderId="0" xfId="0" applyAlignment="1">
      <alignment horizontal="center"/>
    </xf>
    <xf numFmtId="0" fontId="6" fillId="0" borderId="0" xfId="0" applyFont="1" applyAlignment="1">
      <alignment horizontal="center"/>
    </xf>
    <xf numFmtId="0" fontId="7" fillId="0" borderId="0" xfId="0" applyFont="1"/>
    <xf numFmtId="0" fontId="6" fillId="0" borderId="0" xfId="0" applyFont="1" applyAlignment="1">
      <alignment horizontal="center"/>
    </xf>
    <xf numFmtId="0" fontId="6"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6" fillId="0" borderId="4" xfId="0" applyNumberFormat="1" applyFont="1" applyBorder="1" applyAlignment="1">
      <alignment horizontal="center"/>
    </xf>
    <xf numFmtId="0" fontId="6" fillId="0" borderId="4" xfId="0" applyFont="1" applyBorder="1" applyAlignment="1">
      <alignment horizontal="center"/>
    </xf>
    <xf numFmtId="0" fontId="6" fillId="2" borderId="4" xfId="0" applyFont="1" applyFill="1" applyBorder="1" applyAlignment="1">
      <alignment horizontal="center"/>
    </xf>
    <xf numFmtId="4" fontId="6" fillId="0" borderId="4" xfId="0" applyNumberFormat="1" applyFont="1" applyBorder="1" applyAlignment="1">
      <alignment horizontal="center" vertical="center" wrapText="1"/>
    </xf>
    <xf numFmtId="0" fontId="6" fillId="0" borderId="1" xfId="0" applyFont="1" applyBorder="1" applyAlignment="1">
      <alignment horizontal="center"/>
    </xf>
    <xf numFmtId="0" fontId="6" fillId="0" borderId="8" xfId="0" applyFont="1" applyBorder="1" applyAlignment="1">
      <alignment horizontal="center"/>
    </xf>
    <xf numFmtId="0" fontId="0" fillId="0" borderId="4" xfId="0" applyBorder="1" applyAlignment="1">
      <alignment horizontal="center" vertical="center" wrapText="1"/>
    </xf>
    <xf numFmtId="49" fontId="6" fillId="0" borderId="33" xfId="0" applyNumberFormat="1" applyFont="1" applyBorder="1" applyAlignment="1">
      <alignment horizontal="center"/>
    </xf>
    <xf numFmtId="0" fontId="6" fillId="0" borderId="33" xfId="0" applyFont="1" applyBorder="1" applyAlignment="1">
      <alignment horizontal="center"/>
    </xf>
    <xf numFmtId="9" fontId="6" fillId="0" borderId="33" xfId="0" applyNumberFormat="1" applyFont="1" applyBorder="1" applyAlignment="1">
      <alignment horizontal="center"/>
    </xf>
    <xf numFmtId="9" fontId="6" fillId="2" borderId="33" xfId="0" applyNumberFormat="1" applyFont="1" applyFill="1" applyBorder="1" applyAlignment="1">
      <alignment horizontal="center"/>
    </xf>
    <xf numFmtId="0" fontId="0" fillId="0" borderId="33" xfId="0" applyBorder="1" applyAlignment="1">
      <alignment horizontal="center" vertical="center" wrapText="1"/>
    </xf>
    <xf numFmtId="0" fontId="6" fillId="0" borderId="34" xfId="0" applyFont="1" applyBorder="1" applyAlignment="1">
      <alignment horizontal="center"/>
    </xf>
    <xf numFmtId="0" fontId="5" fillId="0" borderId="42" xfId="0" applyFont="1" applyBorder="1"/>
    <xf numFmtId="164" fontId="5" fillId="0" borderId="12" xfId="1" applyNumberFormat="1" applyFont="1" applyBorder="1" applyAlignment="1">
      <alignment horizontal="center"/>
    </xf>
    <xf numFmtId="165" fontId="5" fillId="2" borderId="10" xfId="1" applyNumberFormat="1" applyFont="1" applyFill="1" applyBorder="1"/>
    <xf numFmtId="166" fontId="5" fillId="0" borderId="10" xfId="0" applyNumberFormat="1" applyFont="1" applyBorder="1"/>
    <xf numFmtId="3" fontId="5" fillId="0" borderId="10" xfId="0" applyNumberFormat="1" applyFont="1" applyBorder="1"/>
    <xf numFmtId="167" fontId="5" fillId="0" borderId="10" xfId="0" applyNumberFormat="1" applyFont="1" applyBorder="1"/>
    <xf numFmtId="165" fontId="5" fillId="2" borderId="10" xfId="0" applyNumberFormat="1" applyFont="1" applyFill="1" applyBorder="1" applyAlignment="1">
      <alignment horizontal="right"/>
    </xf>
    <xf numFmtId="165" fontId="5" fillId="0" borderId="10" xfId="0" applyNumberFormat="1" applyFont="1" applyBorder="1"/>
    <xf numFmtId="3" fontId="5" fillId="0" borderId="43" xfId="0" applyNumberFormat="1" applyFont="1" applyBorder="1"/>
    <xf numFmtId="3" fontId="7" fillId="0" borderId="45" xfId="0" applyNumberFormat="1" applyFont="1" applyBorder="1" applyAlignment="1"/>
    <xf numFmtId="167" fontId="7" fillId="0" borderId="44" xfId="0" applyNumberFormat="1" applyFont="1" applyBorder="1" applyAlignment="1"/>
    <xf numFmtId="0" fontId="0" fillId="0" borderId="0" xfId="0" applyAlignment="1"/>
    <xf numFmtId="0" fontId="5" fillId="0" borderId="46" xfId="0" applyFont="1" applyBorder="1"/>
    <xf numFmtId="164" fontId="5" fillId="0" borderId="3" xfId="1" applyNumberFormat="1" applyFont="1" applyBorder="1" applyAlignment="1">
      <alignment horizontal="center"/>
    </xf>
    <xf numFmtId="165" fontId="5" fillId="2" borderId="4" xfId="1" applyNumberFormat="1" applyFont="1" applyFill="1" applyBorder="1"/>
    <xf numFmtId="166" fontId="5" fillId="0" borderId="4" xfId="0" applyNumberFormat="1" applyFont="1" applyBorder="1"/>
    <xf numFmtId="3" fontId="11" fillId="0" borderId="4" xfId="0" applyNumberFormat="1" applyFont="1" applyBorder="1" applyAlignment="1">
      <alignment horizontal="right" vertical="center" wrapText="1"/>
    </xf>
    <xf numFmtId="167" fontId="5" fillId="0" borderId="4" xfId="0" applyNumberFormat="1" applyFont="1" applyBorder="1"/>
    <xf numFmtId="165" fontId="5" fillId="2" borderId="4" xfId="0" applyNumberFormat="1" applyFont="1" applyFill="1" applyBorder="1" applyAlignment="1">
      <alignment horizontal="right"/>
    </xf>
    <xf numFmtId="3" fontId="5" fillId="0" borderId="4" xfId="0" applyNumberFormat="1" applyFont="1" applyBorder="1"/>
    <xf numFmtId="165" fontId="5" fillId="0" borderId="4" xfId="0" applyNumberFormat="1" applyFont="1" applyBorder="1"/>
    <xf numFmtId="3" fontId="5" fillId="0" borderId="1" xfId="0" applyNumberFormat="1" applyFont="1" applyBorder="1"/>
    <xf numFmtId="0" fontId="5" fillId="0" borderId="49" xfId="0" applyFont="1" applyBorder="1"/>
    <xf numFmtId="164" fontId="5" fillId="0" borderId="7" xfId="1" applyNumberFormat="1" applyFont="1" applyBorder="1" applyAlignment="1">
      <alignment horizontal="center"/>
    </xf>
    <xf numFmtId="165" fontId="5" fillId="2" borderId="5" xfId="1" applyNumberFormat="1" applyFont="1" applyFill="1" applyBorder="1"/>
    <xf numFmtId="166" fontId="5" fillId="0" borderId="5" xfId="0" applyNumberFormat="1" applyFont="1" applyBorder="1"/>
    <xf numFmtId="3" fontId="5" fillId="0" borderId="5" xfId="0" applyNumberFormat="1" applyFont="1" applyBorder="1"/>
    <xf numFmtId="167" fontId="5" fillId="0" borderId="5" xfId="0" applyNumberFormat="1" applyFont="1" applyBorder="1"/>
    <xf numFmtId="165" fontId="5" fillId="2" borderId="5" xfId="0" applyNumberFormat="1" applyFont="1" applyFill="1" applyBorder="1" applyAlignment="1">
      <alignment horizontal="right"/>
    </xf>
    <xf numFmtId="165" fontId="5" fillId="0" borderId="5" xfId="0" applyNumberFormat="1" applyFont="1" applyBorder="1"/>
    <xf numFmtId="3" fontId="5" fillId="0" borderId="27" xfId="0" applyNumberFormat="1" applyFont="1" applyBorder="1"/>
    <xf numFmtId="0" fontId="6" fillId="0" borderId="50" xfId="0" applyFont="1" applyBorder="1"/>
    <xf numFmtId="164" fontId="6" fillId="0" borderId="51" xfId="1" applyNumberFormat="1" applyFont="1" applyBorder="1" applyAlignment="1">
      <alignment horizontal="center"/>
    </xf>
    <xf numFmtId="165" fontId="6" fillId="2" borderId="52" xfId="1" applyNumberFormat="1" applyFont="1" applyFill="1" applyBorder="1"/>
    <xf numFmtId="2" fontId="6" fillId="0" borderId="52" xfId="0" applyNumberFormat="1" applyFont="1" applyBorder="1"/>
    <xf numFmtId="3" fontId="6" fillId="0" borderId="52" xfId="0" applyNumberFormat="1" applyFont="1" applyBorder="1"/>
    <xf numFmtId="4" fontId="6" fillId="0" borderId="52" xfId="0" applyNumberFormat="1" applyFont="1" applyBorder="1"/>
    <xf numFmtId="165" fontId="6" fillId="2" borderId="52" xfId="0" applyNumberFormat="1" applyFont="1" applyFill="1" applyBorder="1" applyAlignment="1">
      <alignment horizontal="right"/>
    </xf>
    <xf numFmtId="166" fontId="5" fillId="0" borderId="52" xfId="0" applyNumberFormat="1" applyFont="1" applyBorder="1"/>
    <xf numFmtId="4" fontId="5" fillId="0" borderId="52" xfId="0" applyNumberFormat="1" applyFont="1" applyBorder="1"/>
    <xf numFmtId="3" fontId="5" fillId="0" borderId="52" xfId="0" applyNumberFormat="1" applyFont="1" applyBorder="1"/>
    <xf numFmtId="165" fontId="5" fillId="0" borderId="52" xfId="0" applyNumberFormat="1" applyFont="1" applyBorder="1"/>
    <xf numFmtId="3" fontId="5" fillId="0" borderId="53" xfId="0" applyNumberFormat="1" applyFont="1" applyBorder="1"/>
    <xf numFmtId="3" fontId="7" fillId="0" borderId="55" xfId="0" applyNumberFormat="1" applyFont="1" applyBorder="1"/>
    <xf numFmtId="167" fontId="7" fillId="0" borderId="54" xfId="0" applyNumberFormat="1" applyFont="1" applyBorder="1"/>
    <xf numFmtId="0" fontId="5" fillId="0" borderId="0" xfId="0" applyFont="1" applyAlignment="1"/>
    <xf numFmtId="0" fontId="5" fillId="0" borderId="0" xfId="0" applyFont="1" applyAlignment="1">
      <alignment horizontal="center"/>
    </xf>
    <xf numFmtId="165" fontId="0" fillId="0" borderId="0" xfId="0" applyNumberFormat="1"/>
    <xf numFmtId="166" fontId="0" fillId="0" borderId="0" xfId="0" applyNumberFormat="1"/>
    <xf numFmtId="0" fontId="4" fillId="0" borderId="61" xfId="0" applyFont="1" applyFill="1" applyBorder="1"/>
    <xf numFmtId="164" fontId="4" fillId="0" borderId="44" xfId="1" applyNumberFormat="1" applyFont="1" applyFill="1" applyBorder="1" applyAlignment="1">
      <alignment horizontal="center"/>
    </xf>
    <xf numFmtId="165" fontId="4" fillId="0" borderId="45" xfId="1" applyNumberFormat="1" applyFont="1" applyFill="1" applyBorder="1"/>
    <xf numFmtId="3" fontId="4" fillId="0" borderId="44" xfId="0" applyNumberFormat="1" applyFont="1" applyFill="1" applyBorder="1"/>
    <xf numFmtId="166" fontId="4" fillId="0" borderId="10" xfId="0" applyNumberFormat="1" applyFont="1" applyFill="1" applyBorder="1"/>
    <xf numFmtId="167" fontId="4" fillId="0" borderId="10" xfId="0" applyNumberFormat="1" applyFont="1" applyFill="1" applyBorder="1"/>
    <xf numFmtId="165" fontId="4" fillId="0" borderId="45" xfId="0" applyNumberFormat="1" applyFont="1" applyFill="1" applyBorder="1" applyAlignment="1">
      <alignment horizontal="right"/>
    </xf>
    <xf numFmtId="165" fontId="4" fillId="0" borderId="44" xfId="0" applyNumberFormat="1" applyFont="1" applyFill="1" applyBorder="1" applyAlignment="1">
      <alignment horizontal="right"/>
    </xf>
    <xf numFmtId="165" fontId="4" fillId="0" borderId="10" xfId="0" applyNumberFormat="1" applyFont="1" applyFill="1" applyBorder="1" applyAlignment="1">
      <alignment horizontal="right"/>
    </xf>
    <xf numFmtId="3" fontId="4" fillId="0" borderId="45" xfId="0" applyNumberFormat="1" applyFont="1" applyFill="1" applyBorder="1"/>
    <xf numFmtId="165" fontId="4" fillId="0" borderId="12" xfId="0" applyNumberFormat="1" applyFont="1" applyFill="1" applyBorder="1"/>
    <xf numFmtId="3" fontId="4" fillId="0" borderId="43" xfId="0" applyNumberFormat="1" applyFont="1" applyFill="1" applyBorder="1"/>
    <xf numFmtId="165" fontId="4" fillId="0" borderId="62"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4" fillId="0" borderId="47" xfId="1" applyNumberFormat="1" applyFont="1" applyFill="1" applyBorder="1" applyAlignment="1">
      <alignment horizontal="center"/>
    </xf>
    <xf numFmtId="166" fontId="4" fillId="0" borderId="4" xfId="0" applyNumberFormat="1" applyFont="1" applyFill="1" applyBorder="1"/>
    <xf numFmtId="165" fontId="4" fillId="0" borderId="3" xfId="0" applyNumberFormat="1" applyFont="1" applyFill="1" applyBorder="1"/>
    <xf numFmtId="0" fontId="4" fillId="0" borderId="63" xfId="0" applyFont="1" applyFill="1" applyBorder="1"/>
    <xf numFmtId="0" fontId="3" fillId="0" borderId="60" xfId="0" applyFont="1" applyFill="1" applyBorder="1"/>
    <xf numFmtId="0" fontId="5" fillId="0" borderId="0" xfId="0" applyFont="1" applyFill="1"/>
    <xf numFmtId="0" fontId="5" fillId="0" borderId="0" xfId="0" applyFont="1" applyFill="1" applyAlignment="1">
      <alignment horizontal="center"/>
    </xf>
    <xf numFmtId="0" fontId="5" fillId="0" borderId="0" xfId="0" applyFont="1" applyBorder="1" applyAlignment="1">
      <alignment horizontal="center" vertical="center"/>
    </xf>
    <xf numFmtId="0" fontId="2" fillId="0" borderId="0" xfId="0" applyFont="1"/>
    <xf numFmtId="0" fontId="6" fillId="0" borderId="5" xfId="0" applyFont="1" applyBorder="1" applyAlignment="1">
      <alignment horizontal="center"/>
    </xf>
    <xf numFmtId="0" fontId="6" fillId="0" borderId="17" xfId="0" applyFont="1" applyBorder="1" applyAlignment="1">
      <alignment wrapText="1"/>
    </xf>
    <xf numFmtId="0" fontId="6" fillId="0" borderId="0" xfId="0" applyFont="1" applyBorder="1" applyAlignment="1"/>
    <xf numFmtId="9" fontId="6" fillId="0" borderId="0" xfId="0" applyNumberFormat="1" applyFont="1" applyBorder="1" applyAlignment="1">
      <alignment horizontal="center"/>
    </xf>
    <xf numFmtId="49" fontId="6" fillId="0" borderId="60" xfId="0" applyNumberFormat="1" applyFont="1" applyBorder="1" applyAlignment="1">
      <alignment horizontal="center"/>
    </xf>
    <xf numFmtId="49" fontId="6" fillId="0" borderId="11" xfId="0" applyNumberFormat="1" applyFont="1" applyBorder="1" applyAlignment="1">
      <alignment horizontal="center"/>
    </xf>
    <xf numFmtId="49" fontId="6" fillId="0" borderId="22" xfId="0" applyNumberFormat="1" applyFont="1" applyBorder="1" applyAlignment="1">
      <alignment horizontal="center"/>
    </xf>
    <xf numFmtId="49" fontId="6" fillId="0" borderId="66" xfId="0" applyNumberFormat="1" applyFont="1" applyBorder="1" applyAlignment="1">
      <alignment horizontal="center"/>
    </xf>
    <xf numFmtId="49" fontId="5" fillId="0" borderId="40" xfId="0" applyNumberFormat="1" applyFont="1" applyBorder="1" applyAlignment="1">
      <alignment horizontal="center"/>
    </xf>
    <xf numFmtId="49" fontId="6" fillId="0" borderId="68" xfId="0" applyNumberFormat="1" applyFont="1" applyFill="1" applyBorder="1" applyAlignment="1">
      <alignment horizontal="center"/>
    </xf>
    <xf numFmtId="49" fontId="6" fillId="0" borderId="69" xfId="0" applyNumberFormat="1" applyFont="1" applyBorder="1" applyAlignment="1">
      <alignment horizontal="center"/>
    </xf>
    <xf numFmtId="0" fontId="6" fillId="0" borderId="65" xfId="0" applyFont="1" applyBorder="1" applyAlignment="1">
      <alignment horizontal="center" vertical="center"/>
    </xf>
    <xf numFmtId="0" fontId="5" fillId="0" borderId="58" xfId="0" applyFont="1" applyFill="1" applyBorder="1"/>
    <xf numFmtId="164" fontId="5" fillId="0" borderId="0" xfId="1" applyNumberFormat="1" applyFont="1" applyBorder="1" applyAlignment="1">
      <alignment horizontal="center"/>
    </xf>
    <xf numFmtId="3" fontId="5" fillId="0" borderId="58" xfId="0" applyNumberFormat="1" applyFont="1" applyBorder="1"/>
    <xf numFmtId="3" fontId="5" fillId="0" borderId="70" xfId="0" applyNumberFormat="1" applyFont="1" applyFill="1" applyBorder="1"/>
    <xf numFmtId="3" fontId="5" fillId="0" borderId="0" xfId="0" applyNumberFormat="1" applyFont="1" applyBorder="1"/>
    <xf numFmtId="167" fontId="0" fillId="0" borderId="0" xfId="0" applyNumberFormat="1"/>
    <xf numFmtId="4" fontId="0" fillId="0" borderId="0" xfId="0" applyNumberFormat="1"/>
    <xf numFmtId="167" fontId="2" fillId="0" borderId="0" xfId="0" applyNumberFormat="1" applyFont="1"/>
    <xf numFmtId="0" fontId="6" fillId="0" borderId="58" xfId="0" applyFont="1" applyFill="1" applyBorder="1"/>
    <xf numFmtId="164" fontId="6" fillId="0" borderId="0" xfId="1" applyNumberFormat="1" applyFont="1" applyFill="1" applyBorder="1" applyAlignment="1">
      <alignment horizontal="center"/>
    </xf>
    <xf numFmtId="3" fontId="6" fillId="0" borderId="0" xfId="0" applyNumberFormat="1" applyFont="1" applyFill="1" applyBorder="1"/>
    <xf numFmtId="3" fontId="6" fillId="0" borderId="58" xfId="0" applyNumberFormat="1" applyFont="1" applyBorder="1"/>
    <xf numFmtId="4" fontId="0" fillId="0" borderId="0" xfId="0" applyNumberFormat="1" applyFill="1"/>
    <xf numFmtId="0" fontId="2" fillId="0" borderId="0" xfId="0" applyFont="1" applyFill="1"/>
    <xf numFmtId="167" fontId="2" fillId="0" borderId="0" xfId="0" applyNumberFormat="1" applyFont="1" applyFill="1"/>
    <xf numFmtId="164" fontId="5" fillId="0" borderId="0" xfId="1" applyNumberFormat="1" applyFont="1" applyFill="1" applyBorder="1" applyAlignment="1">
      <alignment horizontal="center"/>
    </xf>
    <xf numFmtId="3" fontId="5" fillId="0" borderId="0" xfId="0" applyNumberFormat="1" applyFont="1" applyFill="1" applyBorder="1"/>
    <xf numFmtId="0" fontId="5" fillId="0" borderId="60" xfId="0" applyFont="1" applyFill="1" applyBorder="1"/>
    <xf numFmtId="3" fontId="6" fillId="0" borderId="52" xfId="0" applyNumberFormat="1" applyFont="1" applyFill="1" applyBorder="1"/>
    <xf numFmtId="4" fontId="5" fillId="0" borderId="0" xfId="0" applyNumberFormat="1" applyFont="1"/>
    <xf numFmtId="0" fontId="6" fillId="0" borderId="5" xfId="0" applyFont="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xf>
    <xf numFmtId="49" fontId="6" fillId="0" borderId="10" xfId="0" applyNumberFormat="1" applyFont="1" applyBorder="1" applyAlignment="1">
      <alignment horizontal="center"/>
    </xf>
    <xf numFmtId="0" fontId="5" fillId="0" borderId="27" xfId="0" applyFont="1" applyBorder="1"/>
    <xf numFmtId="164" fontId="5" fillId="0" borderId="6" xfId="1" applyNumberFormat="1" applyFont="1" applyBorder="1" applyAlignment="1">
      <alignment horizontal="center"/>
    </xf>
    <xf numFmtId="4" fontId="5" fillId="0" borderId="6" xfId="0" applyNumberFormat="1" applyFont="1" applyBorder="1"/>
    <xf numFmtId="0" fontId="5" fillId="0" borderId="70" xfId="0" applyFont="1" applyBorder="1"/>
    <xf numFmtId="4" fontId="5" fillId="0" borderId="0" xfId="0" applyNumberFormat="1" applyFont="1" applyBorder="1"/>
    <xf numFmtId="0" fontId="6" fillId="0" borderId="4" xfId="0" applyFont="1" applyBorder="1"/>
    <xf numFmtId="164" fontId="6" fillId="0" borderId="4" xfId="1" applyNumberFormat="1" applyFont="1" applyBorder="1" applyAlignment="1">
      <alignment horizontal="center"/>
    </xf>
    <xf numFmtId="0" fontId="6" fillId="0" borderId="0" xfId="0" applyFont="1" applyFill="1" applyBorder="1" applyAlignment="1">
      <alignment horizontal="center"/>
    </xf>
    <xf numFmtId="0" fontId="5" fillId="0" borderId="13" xfId="0" applyFont="1" applyBorder="1"/>
    <xf numFmtId="2" fontId="0" fillId="0" borderId="0" xfId="0" applyNumberFormat="1"/>
    <xf numFmtId="0" fontId="5" fillId="0" borderId="23" xfId="0" applyFont="1" applyBorder="1"/>
    <xf numFmtId="0" fontId="5" fillId="0" borderId="32" xfId="0" applyFont="1" applyBorder="1"/>
    <xf numFmtId="0" fontId="6" fillId="0" borderId="20" xfId="0" applyFont="1" applyBorder="1"/>
    <xf numFmtId="0" fontId="5" fillId="0" borderId="0" xfId="0" applyFont="1" applyBorder="1"/>
    <xf numFmtId="0" fontId="5" fillId="0" borderId="0" xfId="0" applyFont="1" applyBorder="1" applyAlignment="1">
      <alignment horizontal="center"/>
    </xf>
    <xf numFmtId="0" fontId="0" fillId="0" borderId="0" xfId="0" applyBorder="1"/>
    <xf numFmtId="49" fontId="12" fillId="3" borderId="58" xfId="0" applyNumberFormat="1" applyFont="1" applyFill="1" applyBorder="1" applyAlignment="1">
      <alignment horizontal="center"/>
    </xf>
    <xf numFmtId="0" fontId="0" fillId="3" borderId="0" xfId="0" applyFill="1"/>
    <xf numFmtId="167" fontId="0" fillId="3" borderId="0" xfId="0" applyNumberFormat="1" applyFill="1"/>
    <xf numFmtId="3" fontId="6" fillId="0" borderId="50" xfId="0" applyNumberFormat="1" applyFont="1" applyFill="1" applyBorder="1" applyAlignment="1"/>
    <xf numFmtId="0" fontId="5" fillId="0" borderId="0" xfId="0" applyFont="1" applyFill="1" applyBorder="1"/>
    <xf numFmtId="49" fontId="6" fillId="0" borderId="0" xfId="0" applyNumberFormat="1" applyFont="1" applyBorder="1" applyAlignment="1">
      <alignment horizontal="center"/>
    </xf>
    <xf numFmtId="166" fontId="5" fillId="0" borderId="0" xfId="0" applyNumberFormat="1" applyFont="1" applyBorder="1"/>
    <xf numFmtId="167" fontId="5" fillId="0" borderId="0" xfId="0" applyNumberFormat="1" applyFont="1" applyBorder="1"/>
    <xf numFmtId="0" fontId="5" fillId="0" borderId="0" xfId="0" applyFont="1" applyFill="1" applyBorder="1" applyAlignment="1">
      <alignment horizontal="center"/>
    </xf>
    <xf numFmtId="44" fontId="6" fillId="0" borderId="0" xfId="0" applyNumberFormat="1" applyFont="1" applyFill="1" applyBorder="1" applyAlignment="1">
      <alignment horizontal="center"/>
    </xf>
    <xf numFmtId="2" fontId="0" fillId="0" borderId="0" xfId="0" applyNumberFormat="1" applyBorder="1"/>
    <xf numFmtId="3" fontId="6" fillId="0" borderId="0" xfId="0" applyNumberFormat="1" applyFont="1" applyBorder="1"/>
    <xf numFmtId="167" fontId="6" fillId="0" borderId="0" xfId="0" applyNumberFormat="1" applyFont="1" applyBorder="1"/>
    <xf numFmtId="4" fontId="5" fillId="0" borderId="0" xfId="0" applyNumberFormat="1" applyFont="1" applyAlignment="1"/>
    <xf numFmtId="44" fontId="5" fillId="0" borderId="0" xfId="0" applyNumberFormat="1" applyFont="1"/>
    <xf numFmtId="3" fontId="5" fillId="0" borderId="8" xfId="0" applyNumberFormat="1" applyFont="1" applyFill="1" applyBorder="1"/>
    <xf numFmtId="0" fontId="6" fillId="0" borderId="9" xfId="0" applyFont="1" applyFill="1" applyBorder="1" applyAlignment="1">
      <alignment horizontal="center"/>
    </xf>
    <xf numFmtId="0" fontId="3" fillId="0" borderId="38" xfId="0" applyFont="1" applyFill="1" applyBorder="1" applyAlignment="1">
      <alignment horizontal="center"/>
    </xf>
    <xf numFmtId="0" fontId="3" fillId="0" borderId="37" xfId="0" applyFont="1" applyFill="1" applyBorder="1" applyAlignment="1">
      <alignment horizontal="center"/>
    </xf>
    <xf numFmtId="167" fontId="10" fillId="0" borderId="44" xfId="0" applyNumberFormat="1" applyFont="1" applyFill="1" applyBorder="1"/>
    <xf numFmtId="165" fontId="10" fillId="0" borderId="45" xfId="0" applyNumberFormat="1" applyFont="1" applyFill="1" applyBorder="1"/>
    <xf numFmtId="168" fontId="10" fillId="0" borderId="44" xfId="0" applyNumberFormat="1" applyFont="1" applyFill="1" applyBorder="1"/>
    <xf numFmtId="168" fontId="10" fillId="0" borderId="10" xfId="0" applyNumberFormat="1" applyFont="1" applyFill="1" applyBorder="1"/>
    <xf numFmtId="3" fontId="7" fillId="0" borderId="45" xfId="0" applyNumberFormat="1" applyFont="1" applyFill="1" applyBorder="1" applyAlignment="1"/>
    <xf numFmtId="167" fontId="10" fillId="0" borderId="54" xfId="0" applyNumberFormat="1" applyFont="1" applyFill="1" applyBorder="1"/>
    <xf numFmtId="165" fontId="10" fillId="0" borderId="55" xfId="0" applyNumberFormat="1" applyFont="1" applyFill="1" applyBorder="1"/>
    <xf numFmtId="168" fontId="10" fillId="0" borderId="54" xfId="0" applyNumberFormat="1" applyFont="1" applyFill="1" applyBorder="1"/>
    <xf numFmtId="168" fontId="10" fillId="0" borderId="52" xfId="0" applyNumberFormat="1" applyFont="1" applyFill="1" applyBorder="1"/>
    <xf numFmtId="3" fontId="7" fillId="0" borderId="55" xfId="0" applyNumberFormat="1" applyFont="1" applyFill="1" applyBorder="1"/>
    <xf numFmtId="167" fontId="7" fillId="0" borderId="51" xfId="0" applyNumberFormat="1" applyFont="1" applyFill="1" applyBorder="1"/>
    <xf numFmtId="3" fontId="7" fillId="0" borderId="52" xfId="0" applyNumberFormat="1" applyFont="1" applyFill="1" applyBorder="1"/>
    <xf numFmtId="167" fontId="7" fillId="0" borderId="52" xfId="0" applyNumberFormat="1" applyFont="1" applyFill="1" applyBorder="1"/>
    <xf numFmtId="0" fontId="6" fillId="0" borderId="23" xfId="0" applyFont="1" applyBorder="1" applyAlignment="1"/>
    <xf numFmtId="0" fontId="6" fillId="0" borderId="0" xfId="0" applyFont="1" applyAlignment="1">
      <alignment horizontal="center"/>
    </xf>
    <xf numFmtId="0" fontId="6" fillId="0" borderId="0" xfId="0" applyFont="1" applyBorder="1" applyAlignment="1">
      <alignment horizontal="center"/>
    </xf>
    <xf numFmtId="0" fontId="6" fillId="0" borderId="33" xfId="0" applyFont="1" applyFill="1" applyBorder="1" applyAlignment="1">
      <alignment horizontal="center"/>
    </xf>
    <xf numFmtId="3" fontId="5" fillId="0" borderId="37" xfId="0" applyNumberFormat="1" applyFont="1" applyFill="1" applyBorder="1"/>
    <xf numFmtId="3" fontId="5" fillId="0" borderId="38" xfId="0" applyNumberFormat="1" applyFont="1" applyFill="1" applyBorder="1"/>
    <xf numFmtId="0" fontId="5" fillId="0" borderId="32" xfId="0" applyFont="1" applyFill="1" applyBorder="1"/>
    <xf numFmtId="0" fontId="6" fillId="0" borderId="64" xfId="0" applyFont="1" applyFill="1" applyBorder="1" applyAlignment="1">
      <alignment horizontal="center"/>
    </xf>
    <xf numFmtId="3" fontId="5" fillId="0" borderId="35" xfId="0" applyNumberFormat="1" applyFont="1" applyFill="1" applyBorder="1"/>
    <xf numFmtId="3" fontId="5" fillId="0" borderId="39" xfId="0" applyNumberFormat="1" applyFont="1" applyFill="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9" fontId="6"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166" fontId="5" fillId="0" borderId="0" xfId="0" applyNumberFormat="1" applyFont="1"/>
    <xf numFmtId="167" fontId="5" fillId="0" borderId="6" xfId="0" applyNumberFormat="1" applyFont="1" applyBorder="1"/>
    <xf numFmtId="44" fontId="5" fillId="0" borderId="8" xfId="1" applyFont="1" applyBorder="1"/>
    <xf numFmtId="164" fontId="5" fillId="0" borderId="0" xfId="1" applyNumberFormat="1" applyFont="1" applyBorder="1"/>
    <xf numFmtId="167" fontId="5" fillId="0" borderId="9" xfId="0" applyNumberFormat="1" applyFont="1" applyBorder="1"/>
    <xf numFmtId="3" fontId="11" fillId="0" borderId="0" xfId="0" applyNumberFormat="1" applyFont="1" applyBorder="1" applyAlignment="1">
      <alignment horizontal="right" vertical="center" wrapText="1"/>
    </xf>
    <xf numFmtId="3" fontId="5" fillId="0" borderId="55" xfId="0" applyNumberFormat="1" applyFont="1" applyBorder="1"/>
    <xf numFmtId="4" fontId="5" fillId="0" borderId="3" xfId="0" applyNumberFormat="1" applyFont="1" applyBorder="1"/>
    <xf numFmtId="4" fontId="5" fillId="0" borderId="4" xfId="0" applyNumberFormat="1" applyFont="1" applyBorder="1"/>
    <xf numFmtId="44" fontId="5" fillId="0" borderId="4" xfId="1" applyFont="1" applyBorder="1"/>
    <xf numFmtId="44" fontId="6" fillId="0" borderId="0" xfId="1" applyFont="1" applyBorder="1"/>
    <xf numFmtId="170" fontId="6" fillId="0" borderId="0" xfId="0" applyNumberFormat="1" applyFont="1" applyBorder="1"/>
    <xf numFmtId="167" fontId="5" fillId="0" borderId="52" xfId="0" applyNumberFormat="1" applyFont="1" applyBorder="1" applyAlignment="1">
      <alignment horizontal="right"/>
    </xf>
    <xf numFmtId="167" fontId="5" fillId="0" borderId="52" xfId="0" applyNumberFormat="1" applyFont="1" applyBorder="1"/>
    <xf numFmtId="0" fontId="6" fillId="0" borderId="0" xfId="0" applyFont="1" applyAlignment="1">
      <alignment horizontal="center"/>
    </xf>
    <xf numFmtId="3" fontId="0" fillId="0" borderId="0" xfId="0" applyNumberFormat="1"/>
    <xf numFmtId="0" fontId="6" fillId="0" borderId="70" xfId="0" applyFont="1" applyFill="1" applyBorder="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5" fillId="0" borderId="0" xfId="0" applyFont="1" applyAlignment="1">
      <alignment horizontal="center" vertical="center"/>
    </xf>
    <xf numFmtId="166" fontId="6" fillId="0" borderId="34" xfId="0" applyNumberFormat="1" applyFont="1" applyBorder="1" applyAlignment="1">
      <alignment horizontal="center"/>
    </xf>
    <xf numFmtId="166" fontId="6" fillId="0" borderId="69" xfId="0" applyNumberFormat="1" applyFont="1" applyBorder="1" applyAlignment="1">
      <alignment horizontal="center"/>
    </xf>
    <xf numFmtId="0" fontId="6" fillId="0" borderId="36" xfId="0" applyFont="1" applyBorder="1" applyAlignment="1">
      <alignment horizontal="center"/>
    </xf>
    <xf numFmtId="0" fontId="5" fillId="0" borderId="56" xfId="0" applyFont="1" applyBorder="1" applyAlignment="1">
      <alignment horizontal="center" vertical="center"/>
    </xf>
    <xf numFmtId="44" fontId="5" fillId="0" borderId="14" xfId="1" applyFont="1" applyBorder="1"/>
    <xf numFmtId="166" fontId="5" fillId="0" borderId="14" xfId="0" applyNumberFormat="1" applyFont="1" applyBorder="1"/>
    <xf numFmtId="3" fontId="21" fillId="0" borderId="14" xfId="0" applyNumberFormat="1" applyFont="1" applyBorder="1" applyAlignment="1">
      <alignment horizontal="right" vertical="center" wrapText="1"/>
    </xf>
    <xf numFmtId="0" fontId="0" fillId="0" borderId="59" xfId="0" applyBorder="1"/>
    <xf numFmtId="166" fontId="5" fillId="0" borderId="13" xfId="0" applyNumberFormat="1" applyFont="1" applyBorder="1" applyAlignment="1">
      <alignment horizontal="center"/>
    </xf>
    <xf numFmtId="166" fontId="5" fillId="0" borderId="14" xfId="0" applyNumberFormat="1" applyFont="1" applyBorder="1" applyAlignment="1">
      <alignment horizontal="center"/>
    </xf>
    <xf numFmtId="0" fontId="5" fillId="0" borderId="58" xfId="0" applyFont="1" applyBorder="1" applyAlignment="1">
      <alignment horizontal="center" vertical="center"/>
    </xf>
    <xf numFmtId="166" fontId="5" fillId="0" borderId="23" xfId="0" applyNumberFormat="1" applyFont="1" applyFill="1" applyBorder="1" applyAlignment="1">
      <alignment horizontal="center"/>
    </xf>
    <xf numFmtId="166" fontId="5" fillId="0" borderId="0" xfId="0" applyNumberFormat="1" applyFont="1" applyFill="1" applyBorder="1" applyAlignment="1">
      <alignment horizontal="center"/>
    </xf>
    <xf numFmtId="0" fontId="0" fillId="0" borderId="31" xfId="0" applyFill="1" applyBorder="1"/>
    <xf numFmtId="4" fontId="5" fillId="0" borderId="31" xfId="0" applyNumberFormat="1" applyFont="1" applyFill="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5" fillId="0" borderId="23" xfId="0" applyFont="1" applyFill="1" applyBorder="1" applyAlignment="1">
      <alignment horizontal="left"/>
    </xf>
    <xf numFmtId="0" fontId="5" fillId="0" borderId="31" xfId="0" applyFont="1" applyFill="1" applyBorder="1" applyAlignment="1">
      <alignment horizontal="left"/>
    </xf>
    <xf numFmtId="0" fontId="5" fillId="0" borderId="23" xfId="0" applyFont="1" applyFill="1" applyBorder="1" applyAlignment="1">
      <alignment horizontal="right"/>
    </xf>
    <xf numFmtId="0" fontId="5" fillId="0" borderId="0" xfId="0" applyFont="1" applyFill="1" applyBorder="1" applyAlignment="1">
      <alignment horizontal="righ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60" xfId="0" applyFont="1" applyBorder="1" applyAlignment="1">
      <alignment horizontal="center" vertical="center"/>
    </xf>
    <xf numFmtId="0" fontId="5" fillId="0" borderId="8" xfId="0" applyFont="1" applyBorder="1" applyAlignment="1">
      <alignment horizontal="center" vertical="center"/>
    </xf>
    <xf numFmtId="0" fontId="5" fillId="0" borderId="70" xfId="0" applyFont="1" applyFill="1" applyBorder="1" applyAlignment="1">
      <alignment horizontal="right"/>
    </xf>
    <xf numFmtId="4" fontId="5" fillId="0" borderId="9" xfId="0" applyNumberFormat="1" applyFont="1" applyFill="1" applyBorder="1" applyAlignment="1">
      <alignment horizontal="right"/>
    </xf>
    <xf numFmtId="4" fontId="6" fillId="0" borderId="9" xfId="0" applyNumberFormat="1" applyFont="1" applyFill="1" applyBorder="1" applyAlignment="1">
      <alignment horizontal="right"/>
    </xf>
    <xf numFmtId="0" fontId="5" fillId="0" borderId="9" xfId="0" applyFont="1" applyFill="1" applyBorder="1" applyAlignment="1">
      <alignment horizontal="right"/>
    </xf>
    <xf numFmtId="0" fontId="5" fillId="4" borderId="8" xfId="0" applyFont="1" applyFill="1" applyBorder="1" applyAlignment="1">
      <alignment horizontal="center" vertical="center"/>
    </xf>
    <xf numFmtId="4" fontId="15" fillId="0" borderId="0" xfId="0" applyNumberFormat="1" applyFont="1" applyFill="1" applyBorder="1" applyAlignment="1">
      <alignment horizontal="right"/>
    </xf>
    <xf numFmtId="4" fontId="18" fillId="0" borderId="0" xfId="0" applyNumberFormat="1" applyFont="1" applyBorder="1"/>
    <xf numFmtId="0" fontId="5" fillId="0" borderId="70" xfId="0" applyFont="1" applyFill="1" applyBorder="1" applyAlignment="1">
      <alignment horizontal="left"/>
    </xf>
    <xf numFmtId="0" fontId="5" fillId="0" borderId="9" xfId="0" applyFont="1" applyFill="1" applyBorder="1" applyAlignment="1">
      <alignment horizontal="left"/>
    </xf>
    <xf numFmtId="0" fontId="5" fillId="0" borderId="4" xfId="0" applyFont="1" applyBorder="1" applyAlignment="1">
      <alignment horizontal="center" vertical="center"/>
    </xf>
    <xf numFmtId="0" fontId="6" fillId="0" borderId="2" xfId="0" applyFont="1" applyBorder="1" applyAlignment="1">
      <alignment horizontal="center"/>
    </xf>
    <xf numFmtId="0" fontId="6" fillId="5" borderId="4" xfId="0" applyFont="1" applyFill="1" applyBorder="1" applyAlignment="1">
      <alignment horizontal="center"/>
    </xf>
    <xf numFmtId="3" fontId="22" fillId="0" borderId="4" xfId="0" applyNumberFormat="1" applyFont="1" applyBorder="1"/>
    <xf numFmtId="3" fontId="6" fillId="0" borderId="4" xfId="0" applyNumberFormat="1" applyFont="1" applyBorder="1"/>
    <xf numFmtId="169" fontId="6" fillId="0" borderId="4" xfId="0" applyNumberFormat="1" applyFont="1" applyBorder="1"/>
    <xf numFmtId="167" fontId="5" fillId="0" borderId="0" xfId="0" applyNumberFormat="1" applyFont="1" applyAlignment="1">
      <alignment horizontal="center"/>
    </xf>
    <xf numFmtId="3" fontId="6" fillId="5" borderId="4" xfId="0" applyNumberFormat="1" applyFont="1" applyFill="1" applyBorder="1"/>
    <xf numFmtId="4" fontId="5" fillId="0" borderId="0" xfId="0" applyNumberFormat="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vertical="center"/>
    </xf>
    <xf numFmtId="4" fontId="5" fillId="0" borderId="9" xfId="0" applyNumberFormat="1" applyFont="1" applyFill="1" applyBorder="1" applyAlignment="1">
      <alignment horizontal="right"/>
    </xf>
    <xf numFmtId="4" fontId="5" fillId="0" borderId="31" xfId="0" applyNumberFormat="1" applyFont="1" applyFill="1" applyBorder="1" applyAlignment="1">
      <alignment horizontal="right"/>
    </xf>
    <xf numFmtId="0" fontId="4" fillId="0" borderId="5" xfId="0" applyFont="1" applyBorder="1"/>
    <xf numFmtId="49" fontId="4" fillId="0" borderId="7" xfId="0" applyNumberFormat="1" applyFont="1" applyBorder="1" applyAlignment="1">
      <alignment horizontal="right"/>
    </xf>
    <xf numFmtId="0" fontId="4" fillId="0" borderId="8" xfId="0" applyFont="1" applyBorder="1"/>
    <xf numFmtId="49" fontId="4" fillId="0" borderId="9" xfId="0" applyNumberFormat="1" applyFont="1" applyBorder="1" applyAlignment="1">
      <alignment horizontal="right"/>
    </xf>
    <xf numFmtId="49" fontId="4" fillId="6" borderId="8" xfId="0" applyNumberFormat="1" applyFont="1" applyFill="1" applyBorder="1" applyAlignment="1">
      <alignment horizontal="right"/>
    </xf>
    <xf numFmtId="0" fontId="4" fillId="0" borderId="10" xfId="0" applyFont="1" applyBorder="1"/>
    <xf numFmtId="49" fontId="4" fillId="0" borderId="12" xfId="0" applyNumberFormat="1" applyFont="1" applyBorder="1" applyAlignment="1">
      <alignment horizontal="right"/>
    </xf>
    <xf numFmtId="49" fontId="4" fillId="0" borderId="5" xfId="0" applyNumberFormat="1" applyFont="1" applyBorder="1" applyAlignment="1">
      <alignment horizontal="right"/>
    </xf>
    <xf numFmtId="49" fontId="4" fillId="0" borderId="10" xfId="0" applyNumberFormat="1" applyFont="1" applyBorder="1" applyAlignment="1">
      <alignment horizontal="right"/>
    </xf>
    <xf numFmtId="3" fontId="3" fillId="0" borderId="54" xfId="0" applyNumberFormat="1" applyFont="1" applyFill="1" applyBorder="1"/>
    <xf numFmtId="166" fontId="3" fillId="0" borderId="52" xfId="0" applyNumberFormat="1" applyFont="1" applyFill="1" applyBorder="1"/>
    <xf numFmtId="169" fontId="3" fillId="0" borderId="52" xfId="0" applyNumberFormat="1" applyFont="1" applyFill="1" applyBorder="1"/>
    <xf numFmtId="165" fontId="3" fillId="0" borderId="55" xfId="0" applyNumberFormat="1" applyFont="1" applyFill="1" applyBorder="1" applyAlignment="1">
      <alignment horizontal="right"/>
    </xf>
    <xf numFmtId="165" fontId="3" fillId="0" borderId="54" xfId="0" applyNumberFormat="1" applyFont="1" applyFill="1" applyBorder="1" applyAlignment="1">
      <alignment horizontal="right"/>
    </xf>
    <xf numFmtId="165" fontId="3" fillId="0" borderId="52" xfId="0" applyNumberFormat="1" applyFont="1" applyFill="1" applyBorder="1" applyAlignment="1">
      <alignment horizontal="right"/>
    </xf>
    <xf numFmtId="167" fontId="3" fillId="0" borderId="52" xfId="0" applyNumberFormat="1" applyFont="1" applyFill="1" applyBorder="1"/>
    <xf numFmtId="3" fontId="3" fillId="0" borderId="55" xfId="0" applyNumberFormat="1" applyFont="1" applyFill="1" applyBorder="1"/>
    <xf numFmtId="165" fontId="3" fillId="0" borderId="54" xfId="0" applyNumberFormat="1" applyFont="1" applyFill="1" applyBorder="1"/>
    <xf numFmtId="0" fontId="6" fillId="0" borderId="7" xfId="0" applyFont="1" applyBorder="1" applyAlignment="1">
      <alignment horizontal="center"/>
    </xf>
    <xf numFmtId="0" fontId="6" fillId="0" borderId="9" xfId="0" applyFont="1" applyBorder="1" applyAlignment="1">
      <alignment horizontal="center"/>
    </xf>
    <xf numFmtId="165" fontId="5" fillId="0" borderId="6" xfId="1" applyNumberFormat="1" applyFont="1" applyBorder="1"/>
    <xf numFmtId="166" fontId="5" fillId="0" borderId="6" xfId="0" applyNumberFormat="1" applyFont="1" applyBorder="1"/>
    <xf numFmtId="3" fontId="5" fillId="0" borderId="6" xfId="0" applyNumberFormat="1" applyFont="1" applyBorder="1"/>
    <xf numFmtId="44" fontId="5" fillId="0" borderId="7" xfId="0" applyNumberFormat="1" applyFont="1" applyBorder="1" applyAlignment="1">
      <alignment horizontal="right"/>
    </xf>
    <xf numFmtId="165" fontId="5" fillId="0" borderId="0" xfId="1" applyNumberFormat="1" applyFont="1" applyBorder="1"/>
    <xf numFmtId="44" fontId="5" fillId="0" borderId="9" xfId="0" applyNumberFormat="1" applyFont="1" applyBorder="1" applyAlignment="1">
      <alignment horizontal="right"/>
    </xf>
    <xf numFmtId="3" fontId="5" fillId="0" borderId="11" xfId="0" applyNumberFormat="1" applyFont="1" applyBorder="1"/>
    <xf numFmtId="44" fontId="6" fillId="0" borderId="4" xfId="1" applyFont="1" applyBorder="1"/>
    <xf numFmtId="167" fontId="6" fillId="0" borderId="4" xfId="0" applyNumberFormat="1" applyFont="1" applyBorder="1"/>
    <xf numFmtId="44" fontId="6" fillId="0" borderId="3" xfId="0" applyNumberFormat="1" applyFont="1" applyBorder="1" applyAlignment="1">
      <alignment horizontal="right"/>
    </xf>
    <xf numFmtId="0" fontId="0" fillId="0" borderId="0" xfId="0"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xf>
    <xf numFmtId="168" fontId="5" fillId="0" borderId="6" xfId="1" applyNumberFormat="1" applyFont="1" applyBorder="1"/>
    <xf numFmtId="171" fontId="5" fillId="0" borderId="6" xfId="1" applyNumberFormat="1" applyFont="1" applyBorder="1"/>
    <xf numFmtId="167" fontId="5" fillId="0" borderId="6" xfId="0" applyNumberFormat="1" applyFont="1" applyBorder="1" applyAlignment="1">
      <alignment horizontal="center"/>
    </xf>
    <xf numFmtId="3" fontId="5" fillId="0" borderId="7" xfId="0" applyNumberFormat="1" applyFont="1" applyBorder="1" applyAlignment="1">
      <alignment horizontal="right"/>
    </xf>
    <xf numFmtId="4" fontId="5" fillId="0" borderId="70" xfId="0" applyNumberFormat="1" applyFont="1" applyBorder="1" applyAlignment="1">
      <alignment horizontal="center"/>
    </xf>
    <xf numFmtId="170" fontId="0" fillId="0" borderId="0" xfId="0" applyNumberFormat="1"/>
    <xf numFmtId="168" fontId="5" fillId="0" borderId="0" xfId="1" applyNumberFormat="1" applyFont="1" applyBorder="1"/>
    <xf numFmtId="171" fontId="5" fillId="0" borderId="0" xfId="1" applyNumberFormat="1" applyFont="1" applyBorder="1"/>
    <xf numFmtId="167" fontId="5" fillId="0" borderId="0" xfId="0" applyNumberFormat="1" applyFont="1" applyBorder="1" applyAlignment="1">
      <alignment horizontal="center"/>
    </xf>
    <xf numFmtId="3" fontId="5" fillId="0" borderId="9" xfId="0" applyNumberFormat="1" applyFont="1" applyBorder="1" applyAlignment="1">
      <alignment horizontal="right"/>
    </xf>
    <xf numFmtId="170" fontId="23" fillId="0" borderId="0" xfId="0" applyNumberFormat="1" applyFont="1"/>
    <xf numFmtId="167" fontId="5" fillId="0" borderId="11" xfId="0" applyNumberFormat="1" applyFont="1" applyBorder="1" applyAlignment="1">
      <alignment horizontal="center"/>
    </xf>
    <xf numFmtId="4" fontId="5" fillId="0" borderId="0" xfId="0" applyNumberFormat="1" applyFont="1" applyBorder="1" applyAlignment="1">
      <alignment horizontal="center"/>
    </xf>
    <xf numFmtId="168" fontId="6" fillId="0" borderId="2" xfId="1" applyNumberFormat="1" applyFont="1" applyBorder="1"/>
    <xf numFmtId="171" fontId="6" fillId="0" borderId="3" xfId="1" applyNumberFormat="1" applyFont="1" applyBorder="1"/>
    <xf numFmtId="4" fontId="6" fillId="0" borderId="4" xfId="0" applyNumberFormat="1" applyFont="1" applyBorder="1" applyAlignment="1">
      <alignment horizontal="center"/>
    </xf>
    <xf numFmtId="167" fontId="6" fillId="0" borderId="4" xfId="0" applyNumberFormat="1" applyFont="1" applyBorder="1" applyAlignment="1">
      <alignment horizontal="center"/>
    </xf>
    <xf numFmtId="3" fontId="6" fillId="0" borderId="4" xfId="0" applyNumberFormat="1" applyFont="1" applyBorder="1" applyAlignment="1">
      <alignment horizontal="right"/>
    </xf>
    <xf numFmtId="3" fontId="5" fillId="6" borderId="4" xfId="0" applyNumberFormat="1" applyFont="1" applyFill="1" applyBorder="1"/>
    <xf numFmtId="3" fontId="6" fillId="6" borderId="4" xfId="0" applyNumberFormat="1" applyFont="1" applyFill="1" applyBorder="1"/>
    <xf numFmtId="0" fontId="0" fillId="6" borderId="0" xfId="0" applyFill="1"/>
    <xf numFmtId="3" fontId="24" fillId="0" borderId="4" xfId="0" applyNumberFormat="1" applyFont="1" applyBorder="1"/>
    <xf numFmtId="0" fontId="6" fillId="0" borderId="73" xfId="0" applyFont="1" applyBorder="1" applyAlignment="1">
      <alignment horizontal="center"/>
    </xf>
    <xf numFmtId="0" fontId="6" fillId="2" borderId="73" xfId="0" applyFont="1" applyFill="1" applyBorder="1" applyAlignment="1">
      <alignment horizontal="center"/>
    </xf>
    <xf numFmtId="0" fontId="6" fillId="2" borderId="59" xfId="0" applyFont="1" applyFill="1" applyBorder="1" applyAlignment="1">
      <alignment horizontal="center"/>
    </xf>
    <xf numFmtId="0" fontId="6" fillId="2" borderId="9" xfId="0" applyFont="1" applyFill="1" applyBorder="1" applyAlignment="1">
      <alignment horizontal="center"/>
    </xf>
    <xf numFmtId="0" fontId="6" fillId="2" borderId="31" xfId="0" applyFont="1" applyFill="1" applyBorder="1" applyAlignment="1">
      <alignment horizontal="center"/>
    </xf>
    <xf numFmtId="170" fontId="5" fillId="0" borderId="0" xfId="0" applyNumberFormat="1" applyFont="1"/>
    <xf numFmtId="49" fontId="6" fillId="0" borderId="4" xfId="0" applyNumberFormat="1" applyFont="1" applyBorder="1" applyAlignment="1">
      <alignment horizontal="center"/>
    </xf>
    <xf numFmtId="49" fontId="6" fillId="0" borderId="12" xfId="0" applyNumberFormat="1" applyFont="1" applyBorder="1" applyAlignment="1">
      <alignment horizontal="center"/>
    </xf>
    <xf numFmtId="49" fontId="6" fillId="2" borderId="12" xfId="0" applyNumberFormat="1" applyFont="1" applyFill="1" applyBorder="1" applyAlignment="1">
      <alignment horizontal="center"/>
    </xf>
    <xf numFmtId="0" fontId="6" fillId="2" borderId="12" xfId="0" applyFont="1" applyFill="1" applyBorder="1" applyAlignment="1">
      <alignment horizontal="center"/>
    </xf>
    <xf numFmtId="0" fontId="6" fillId="2" borderId="79" xfId="0" applyFont="1" applyFill="1" applyBorder="1" applyAlignment="1">
      <alignment horizontal="center"/>
    </xf>
    <xf numFmtId="167" fontId="5" fillId="0" borderId="0" xfId="1" applyNumberFormat="1" applyFont="1" applyBorder="1"/>
    <xf numFmtId="4" fontId="5" fillId="2" borderId="0" xfId="0" applyNumberFormat="1" applyFont="1" applyFill="1" applyBorder="1"/>
    <xf numFmtId="3" fontId="5" fillId="2" borderId="0" xfId="0" applyNumberFormat="1" applyFont="1" applyFill="1" applyBorder="1"/>
    <xf numFmtId="166" fontId="5" fillId="2" borderId="0" xfId="0" applyNumberFormat="1" applyFont="1" applyFill="1" applyBorder="1"/>
    <xf numFmtId="3" fontId="5" fillId="2" borderId="28" xfId="0" applyNumberFormat="1" applyFont="1" applyFill="1" applyBorder="1"/>
    <xf numFmtId="170" fontId="25" fillId="0" borderId="0" xfId="0" applyNumberFormat="1" applyFont="1"/>
    <xf numFmtId="3" fontId="5" fillId="2" borderId="31" xfId="0" applyNumberFormat="1" applyFont="1" applyFill="1" applyBorder="1"/>
    <xf numFmtId="166" fontId="5" fillId="0" borderId="0" xfId="0" applyNumberFormat="1" applyFont="1" applyFill="1" applyBorder="1"/>
    <xf numFmtId="167" fontId="5" fillId="0" borderId="22" xfId="1" applyNumberFormat="1" applyFont="1" applyBorder="1"/>
    <xf numFmtId="165" fontId="5" fillId="0" borderId="22" xfId="1" applyNumberFormat="1" applyFont="1" applyBorder="1"/>
    <xf numFmtId="167" fontId="5" fillId="0" borderId="22" xfId="0" applyNumberFormat="1" applyFont="1" applyBorder="1"/>
    <xf numFmtId="3" fontId="5" fillId="0" borderId="22" xfId="0" applyNumberFormat="1" applyFont="1" applyBorder="1"/>
    <xf numFmtId="4" fontId="5" fillId="0" borderId="22" xfId="0" applyNumberFormat="1" applyFont="1" applyBorder="1"/>
    <xf numFmtId="166" fontId="5" fillId="0" borderId="22" xfId="0" applyNumberFormat="1" applyFont="1" applyBorder="1"/>
    <xf numFmtId="4" fontId="5" fillId="2" borderId="22" xfId="0" applyNumberFormat="1" applyFont="1" applyFill="1" applyBorder="1"/>
    <xf numFmtId="3" fontId="5" fillId="2" borderId="22" xfId="0" applyNumberFormat="1" applyFont="1" applyFill="1" applyBorder="1"/>
    <xf numFmtId="166" fontId="5" fillId="2" borderId="22" xfId="0" applyNumberFormat="1" applyFont="1" applyFill="1" applyBorder="1"/>
    <xf numFmtId="3" fontId="5" fillId="2" borderId="41" xfId="0" applyNumberFormat="1" applyFont="1" applyFill="1" applyBorder="1"/>
    <xf numFmtId="0" fontId="6" fillId="0" borderId="54" xfId="0" applyFont="1" applyBorder="1"/>
    <xf numFmtId="164" fontId="6" fillId="0" borderId="52" xfId="1" applyNumberFormat="1" applyFont="1" applyBorder="1"/>
    <xf numFmtId="165" fontId="6" fillId="0" borderId="52" xfId="1" applyNumberFormat="1" applyFont="1" applyBorder="1"/>
    <xf numFmtId="4" fontId="6" fillId="2" borderId="52" xfId="0" applyNumberFormat="1" applyFont="1" applyFill="1" applyBorder="1"/>
    <xf numFmtId="4" fontId="5" fillId="2" borderId="57" xfId="0" applyNumberFormat="1" applyFont="1" applyFill="1" applyBorder="1"/>
    <xf numFmtId="3" fontId="6" fillId="2" borderId="52" xfId="0" applyNumberFormat="1" applyFont="1" applyFill="1" applyBorder="1" applyAlignment="1">
      <alignment horizontal="right"/>
    </xf>
    <xf numFmtId="4" fontId="6" fillId="2" borderId="52" xfId="0" applyNumberFormat="1" applyFont="1" applyFill="1" applyBorder="1" applyAlignment="1">
      <alignment horizontal="right"/>
    </xf>
    <xf numFmtId="3" fontId="6" fillId="2" borderId="55" xfId="0" applyNumberFormat="1" applyFont="1" applyFill="1" applyBorder="1"/>
    <xf numFmtId="164" fontId="6" fillId="0" borderId="0" xfId="1" applyNumberFormat="1" applyFont="1" applyBorder="1" applyAlignment="1">
      <alignment horizontal="center"/>
    </xf>
    <xf numFmtId="7" fontId="5" fillId="0" borderId="0" xfId="0" applyNumberFormat="1" applyFont="1"/>
    <xf numFmtId="0" fontId="5" fillId="0" borderId="4" xfId="0" applyFont="1" applyBorder="1"/>
    <xf numFmtId="44" fontId="5" fillId="0" borderId="6" xfId="1" applyFont="1" applyBorder="1"/>
    <xf numFmtId="44" fontId="26" fillId="0" borderId="0" xfId="0" applyNumberFormat="1" applyFont="1"/>
    <xf numFmtId="44" fontId="5" fillId="0" borderId="0" xfId="1" applyFont="1" applyBorder="1"/>
    <xf numFmtId="44" fontId="25" fillId="0" borderId="0" xfId="0" applyNumberFormat="1" applyFont="1"/>
    <xf numFmtId="170" fontId="6" fillId="0" borderId="4" xfId="0" applyNumberFormat="1" applyFont="1" applyBorder="1"/>
    <xf numFmtId="44" fontId="6" fillId="0" borderId="4" xfId="0" applyNumberFormat="1" applyFont="1" applyBorder="1"/>
    <xf numFmtId="164" fontId="6" fillId="0" borderId="4" xfId="0" applyNumberFormat="1" applyFont="1" applyBorder="1"/>
    <xf numFmtId="164" fontId="6" fillId="0" borderId="0" xfId="0" applyNumberFormat="1" applyFont="1" applyBorder="1"/>
    <xf numFmtId="3" fontId="7" fillId="0" borderId="11" xfId="0" applyNumberFormat="1" applyFont="1" applyFill="1" applyBorder="1" applyAlignment="1"/>
    <xf numFmtId="165" fontId="5" fillId="0" borderId="11" xfId="1" applyNumberFormat="1" applyFont="1" applyBorder="1"/>
    <xf numFmtId="44" fontId="5" fillId="0" borderId="12" xfId="0" applyNumberFormat="1" applyFont="1" applyBorder="1" applyAlignment="1">
      <alignment horizontal="right"/>
    </xf>
    <xf numFmtId="3" fontId="5" fillId="0" borderId="12" xfId="0" applyNumberFormat="1" applyFont="1" applyBorder="1" applyAlignment="1">
      <alignment horizontal="right"/>
    </xf>
    <xf numFmtId="167" fontId="6" fillId="0" borderId="52" xfId="0" applyNumberFormat="1" applyFont="1" applyBorder="1"/>
    <xf numFmtId="172" fontId="6" fillId="0" borderId="52" xfId="0" applyNumberFormat="1" applyFont="1" applyBorder="1"/>
    <xf numFmtId="4" fontId="5" fillId="7" borderId="0" xfId="0" applyNumberFormat="1" applyFont="1" applyFill="1" applyBorder="1"/>
    <xf numFmtId="4" fontId="5" fillId="7" borderId="22" xfId="0" applyNumberFormat="1" applyFont="1" applyFill="1" applyBorder="1"/>
    <xf numFmtId="0" fontId="6" fillId="0" borderId="8"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29" xfId="0" applyFont="1" applyBorder="1" applyAlignment="1">
      <alignment horizontal="center" vertical="center" wrapText="1"/>
    </xf>
    <xf numFmtId="49" fontId="6" fillId="0" borderId="37" xfId="0" applyNumberFormat="1" applyFont="1" applyBorder="1" applyAlignment="1">
      <alignment horizontal="center"/>
    </xf>
    <xf numFmtId="165" fontId="0" fillId="0" borderId="0" xfId="0" applyNumberFormat="1" applyAlignment="1">
      <alignment horizontal="center"/>
    </xf>
    <xf numFmtId="49" fontId="14" fillId="0" borderId="60" xfId="0" applyNumberFormat="1" applyFont="1" applyFill="1" applyBorder="1" applyAlignment="1">
      <alignment horizontal="center" vertical="center" wrapText="1"/>
    </xf>
    <xf numFmtId="49" fontId="8" fillId="0" borderId="32" xfId="0" applyNumberFormat="1" applyFont="1" applyBorder="1" applyAlignment="1">
      <alignment horizontal="center"/>
    </xf>
    <xf numFmtId="1" fontId="0" fillId="0" borderId="0" xfId="0" applyNumberFormat="1" applyAlignment="1"/>
    <xf numFmtId="164" fontId="4" fillId="0" borderId="24" xfId="1" applyNumberFormat="1" applyFont="1" applyFill="1" applyBorder="1" applyAlignment="1">
      <alignment horizontal="center"/>
    </xf>
    <xf numFmtId="165" fontId="4" fillId="0" borderId="30" xfId="1" applyNumberFormat="1" applyFont="1" applyFill="1" applyBorder="1"/>
    <xf numFmtId="3" fontId="4" fillId="0" borderId="24" xfId="0" applyNumberFormat="1" applyFont="1" applyFill="1" applyBorder="1"/>
    <xf numFmtId="166" fontId="4" fillId="0" borderId="5" xfId="0" applyNumberFormat="1" applyFont="1" applyFill="1" applyBorder="1"/>
    <xf numFmtId="167" fontId="4" fillId="0" borderId="5" xfId="0" applyNumberFormat="1" applyFont="1" applyFill="1" applyBorder="1"/>
    <xf numFmtId="165" fontId="4" fillId="0" borderId="30" xfId="0" applyNumberFormat="1" applyFont="1" applyFill="1" applyBorder="1" applyAlignment="1">
      <alignment horizontal="right"/>
    </xf>
    <xf numFmtId="165" fontId="4" fillId="0" borderId="24" xfId="0" applyNumberFormat="1" applyFont="1" applyFill="1" applyBorder="1" applyAlignment="1">
      <alignment horizontal="right"/>
    </xf>
    <xf numFmtId="165" fontId="4" fillId="0" borderId="5" xfId="0" applyNumberFormat="1" applyFont="1" applyFill="1" applyBorder="1" applyAlignment="1">
      <alignment horizontal="right"/>
    </xf>
    <xf numFmtId="3" fontId="4" fillId="0" borderId="30" xfId="0" applyNumberFormat="1" applyFont="1" applyFill="1" applyBorder="1"/>
    <xf numFmtId="165" fontId="4" fillId="0" borderId="7" xfId="0" applyNumberFormat="1" applyFont="1" applyFill="1" applyBorder="1"/>
    <xf numFmtId="3" fontId="4" fillId="0" borderId="70" xfId="0" applyNumberFormat="1" applyFont="1" applyFill="1" applyBorder="1"/>
    <xf numFmtId="165" fontId="4" fillId="0" borderId="49" xfId="0" applyNumberFormat="1" applyFont="1" applyFill="1" applyBorder="1"/>
    <xf numFmtId="165" fontId="3" fillId="0" borderId="50" xfId="0" applyNumberFormat="1" applyFont="1" applyFill="1" applyBorder="1"/>
    <xf numFmtId="167" fontId="6" fillId="0" borderId="52" xfId="0" applyNumberFormat="1" applyFont="1" applyFill="1" applyBorder="1"/>
    <xf numFmtId="3" fontId="6" fillId="0" borderId="53" xfId="0" applyNumberFormat="1" applyFont="1" applyFill="1" applyBorder="1"/>
    <xf numFmtId="3" fontId="6" fillId="0" borderId="55" xfId="0" applyNumberFormat="1" applyFont="1" applyFill="1" applyBorder="1"/>
    <xf numFmtId="0" fontId="6" fillId="0" borderId="11" xfId="0" applyFont="1" applyBorder="1" applyAlignment="1"/>
    <xf numFmtId="0" fontId="27" fillId="0" borderId="0" xfId="2"/>
    <xf numFmtId="0" fontId="31" fillId="0" borderId="50" xfId="2" applyFont="1" applyFill="1" applyBorder="1" applyAlignment="1">
      <alignment horizontal="center" vertical="center" wrapText="1"/>
    </xf>
    <xf numFmtId="0" fontId="31" fillId="0" borderId="57" xfId="2" applyFont="1" applyFill="1" applyBorder="1" applyAlignment="1">
      <alignment wrapText="1"/>
    </xf>
    <xf numFmtId="0" fontId="31" fillId="0" borderId="57" xfId="2" applyFont="1" applyFill="1" applyBorder="1" applyAlignment="1">
      <alignment horizontal="center" vertical="center" wrapText="1"/>
    </xf>
    <xf numFmtId="0" fontId="31" fillId="0" borderId="21" xfId="2" applyFont="1" applyFill="1" applyBorder="1" applyAlignment="1">
      <alignment horizontal="center" vertical="center" wrapText="1"/>
    </xf>
    <xf numFmtId="0" fontId="31" fillId="0" borderId="58" xfId="2" applyFont="1" applyBorder="1"/>
    <xf numFmtId="10" fontId="31" fillId="0" borderId="56" xfId="2" applyNumberFormat="1" applyFont="1" applyBorder="1" applyAlignment="1">
      <alignment horizontal="right"/>
    </xf>
    <xf numFmtId="3" fontId="31" fillId="0" borderId="58" xfId="2" applyNumberFormat="1" applyFont="1" applyBorder="1"/>
    <xf numFmtId="3" fontId="31" fillId="0" borderId="0" xfId="2" applyNumberFormat="1" applyFont="1" applyBorder="1"/>
    <xf numFmtId="3" fontId="31" fillId="0" borderId="56" xfId="2" applyNumberFormat="1" applyFont="1" applyBorder="1"/>
    <xf numFmtId="3" fontId="31" fillId="0" borderId="31" xfId="2" applyNumberFormat="1" applyFont="1" applyBorder="1"/>
    <xf numFmtId="10" fontId="31" fillId="0" borderId="58" xfId="2" applyNumberFormat="1" applyFont="1" applyBorder="1" applyAlignment="1">
      <alignment horizontal="right"/>
    </xf>
    <xf numFmtId="10" fontId="31" fillId="0" borderId="60" xfId="2" applyNumberFormat="1" applyFont="1" applyBorder="1" applyAlignment="1">
      <alignment horizontal="right"/>
    </xf>
    <xf numFmtId="3" fontId="31" fillId="0" borderId="60" xfId="2" applyNumberFormat="1" applyFont="1" applyBorder="1"/>
    <xf numFmtId="0" fontId="31" fillId="0" borderId="50" xfId="2" applyFont="1" applyBorder="1"/>
    <xf numFmtId="10" fontId="31" fillId="0" borderId="50" xfId="2" applyNumberFormat="1" applyFont="1" applyBorder="1" applyAlignment="1">
      <alignment horizontal="right"/>
    </xf>
    <xf numFmtId="3" fontId="32" fillId="0" borderId="50" xfId="2" applyNumberFormat="1" applyFont="1" applyBorder="1"/>
    <xf numFmtId="49" fontId="4" fillId="0" borderId="8" xfId="0" applyNumberFormat="1" applyFont="1" applyFill="1" applyBorder="1" applyAlignment="1">
      <alignment horizontal="right"/>
    </xf>
    <xf numFmtId="49" fontId="4" fillId="0" borderId="10" xfId="0" applyNumberFormat="1" applyFont="1" applyBorder="1"/>
    <xf numFmtId="167" fontId="7" fillId="0" borderId="44" xfId="0" applyNumberFormat="1" applyFont="1" applyFill="1" applyBorder="1" applyAlignment="1"/>
    <xf numFmtId="167" fontId="7" fillId="0" borderId="35" xfId="0" applyNumberFormat="1" applyFont="1" applyFill="1" applyBorder="1" applyAlignment="1"/>
    <xf numFmtId="3" fontId="7" fillId="0" borderId="38" xfId="0" applyNumberFormat="1" applyFont="1" applyFill="1" applyBorder="1" applyAlignment="1"/>
    <xf numFmtId="167" fontId="7" fillId="0" borderId="18" xfId="0" applyNumberFormat="1" applyFont="1" applyFill="1" applyBorder="1" applyAlignment="1"/>
    <xf numFmtId="167" fontId="7" fillId="0" borderId="3" xfId="0" applyNumberFormat="1" applyFont="1" applyFill="1" applyBorder="1" applyAlignment="1"/>
    <xf numFmtId="167" fontId="7" fillId="0" borderId="66" xfId="0" applyNumberFormat="1" applyFont="1" applyFill="1" applyBorder="1" applyAlignment="1"/>
    <xf numFmtId="0" fontId="5" fillId="0" borderId="71" xfId="0" applyFont="1" applyBorder="1"/>
    <xf numFmtId="164" fontId="5" fillId="0" borderId="72" xfId="1" applyNumberFormat="1" applyFont="1" applyBorder="1" applyAlignment="1">
      <alignment horizontal="center"/>
    </xf>
    <xf numFmtId="165" fontId="5" fillId="0" borderId="8" xfId="1" applyNumberFormat="1" applyFont="1" applyBorder="1"/>
    <xf numFmtId="167" fontId="5" fillId="0" borderId="72" xfId="0" applyNumberFormat="1" applyFont="1" applyBorder="1"/>
    <xf numFmtId="3" fontId="5" fillId="0" borderId="8" xfId="0" applyNumberFormat="1" applyFont="1" applyFill="1" applyBorder="1" applyAlignment="1">
      <alignment horizontal="right"/>
    </xf>
    <xf numFmtId="0" fontId="5" fillId="0" borderId="29" xfId="0" applyFont="1" applyBorder="1"/>
    <xf numFmtId="164" fontId="5" fillId="0" borderId="8" xfId="1" applyNumberFormat="1" applyFont="1" applyBorder="1" applyAlignment="1">
      <alignment horizontal="center"/>
    </xf>
    <xf numFmtId="167" fontId="5" fillId="0" borderId="8" xfId="0" applyNumberFormat="1" applyFont="1" applyBorder="1"/>
    <xf numFmtId="0" fontId="5" fillId="0" borderId="35" xfId="0" applyFont="1" applyBorder="1"/>
    <xf numFmtId="164" fontId="5" fillId="0" borderId="37" xfId="1" applyNumberFormat="1" applyFont="1" applyBorder="1" applyAlignment="1">
      <alignment horizontal="center"/>
    </xf>
    <xf numFmtId="165" fontId="5" fillId="0" borderId="37" xfId="1" applyNumberFormat="1" applyFont="1" applyBorder="1"/>
    <xf numFmtId="167" fontId="5" fillId="0" borderId="37" xfId="0" applyNumberFormat="1" applyFont="1" applyBorder="1"/>
    <xf numFmtId="164" fontId="6" fillId="0" borderId="52" xfId="1" applyNumberFormat="1" applyFont="1" applyBorder="1" applyAlignment="1">
      <alignment horizontal="center"/>
    </xf>
    <xf numFmtId="3" fontId="6" fillId="0" borderId="52" xfId="0" applyNumberFormat="1" applyFont="1" applyFill="1" applyBorder="1" applyAlignment="1">
      <alignment horizontal="right"/>
    </xf>
    <xf numFmtId="165" fontId="6" fillId="0" borderId="55" xfId="0" applyNumberFormat="1" applyFont="1" applyFill="1" applyBorder="1" applyAlignment="1">
      <alignment horizontal="right"/>
    </xf>
    <xf numFmtId="0" fontId="6" fillId="0" borderId="72" xfId="0" applyFont="1" applyFill="1" applyBorder="1" applyAlignment="1">
      <alignment horizontal="center"/>
    </xf>
    <xf numFmtId="0" fontId="6" fillId="0" borderId="8" xfId="0" applyFont="1" applyFill="1" applyBorder="1" applyAlignment="1">
      <alignment horizontal="center"/>
    </xf>
    <xf numFmtId="49" fontId="6" fillId="0" borderId="8" xfId="0" applyNumberFormat="1" applyFont="1" applyFill="1" applyBorder="1" applyAlignment="1">
      <alignment horizontal="center"/>
    </xf>
    <xf numFmtId="49" fontId="6" fillId="0" borderId="37" xfId="0" applyNumberFormat="1" applyFont="1" applyFill="1" applyBorder="1" applyAlignment="1">
      <alignment horizontal="center"/>
    </xf>
    <xf numFmtId="49" fontId="6" fillId="0" borderId="38" xfId="0" applyNumberFormat="1" applyFont="1" applyFill="1" applyBorder="1" applyAlignment="1">
      <alignment horizontal="center"/>
    </xf>
    <xf numFmtId="3" fontId="5" fillId="0" borderId="72" xfId="0" applyNumberFormat="1" applyFont="1" applyBorder="1"/>
    <xf numFmtId="167" fontId="5" fillId="0" borderId="72" xfId="0" applyNumberFormat="1" applyFont="1" applyBorder="1" applyAlignment="1">
      <alignment horizontal="right"/>
    </xf>
    <xf numFmtId="3" fontId="5" fillId="0" borderId="8" xfId="0" applyNumberFormat="1" applyFont="1" applyBorder="1" applyAlignment="1">
      <alignment horizontal="right"/>
    </xf>
    <xf numFmtId="3" fontId="5" fillId="0" borderId="30" xfId="0" applyNumberFormat="1" applyFont="1" applyBorder="1" applyAlignment="1">
      <alignment horizontal="right"/>
    </xf>
    <xf numFmtId="3" fontId="5" fillId="0" borderId="8" xfId="0" applyNumberFormat="1" applyFont="1" applyBorder="1"/>
    <xf numFmtId="167" fontId="5" fillId="0" borderId="8" xfId="0" applyNumberFormat="1" applyFont="1" applyBorder="1" applyAlignment="1">
      <alignment horizontal="right"/>
    </xf>
    <xf numFmtId="3" fontId="5" fillId="0" borderId="37" xfId="0" applyNumberFormat="1" applyFont="1" applyBorder="1"/>
    <xf numFmtId="167" fontId="5" fillId="0" borderId="37" xfId="0" applyNumberFormat="1" applyFont="1" applyBorder="1" applyAlignment="1">
      <alignment horizontal="right"/>
    </xf>
    <xf numFmtId="3" fontId="6" fillId="0" borderId="37" xfId="0" applyNumberFormat="1" applyFont="1" applyBorder="1"/>
    <xf numFmtId="168" fontId="6" fillId="0" borderId="37" xfId="1" applyNumberFormat="1" applyFont="1" applyBorder="1"/>
    <xf numFmtId="3" fontId="6" fillId="0" borderId="52" xfId="0" applyNumberFormat="1" applyFont="1" applyBorder="1" applyAlignment="1">
      <alignment horizontal="right"/>
    </xf>
    <xf numFmtId="3" fontId="6" fillId="0" borderId="55" xfId="0" applyNumberFormat="1" applyFont="1" applyBorder="1" applyAlignment="1">
      <alignment horizontal="right"/>
    </xf>
    <xf numFmtId="49" fontId="12" fillId="0" borderId="37" xfId="0" applyNumberFormat="1" applyFont="1" applyFill="1" applyBorder="1" applyAlignment="1">
      <alignment horizontal="center"/>
    </xf>
    <xf numFmtId="0" fontId="12" fillId="0" borderId="37" xfId="0" applyFont="1" applyFill="1" applyBorder="1" applyAlignment="1">
      <alignment horizontal="center"/>
    </xf>
    <xf numFmtId="49" fontId="12" fillId="0" borderId="38" xfId="0" applyNumberFormat="1" applyFont="1" applyFill="1" applyBorder="1" applyAlignment="1">
      <alignment horizontal="center"/>
    </xf>
    <xf numFmtId="0" fontId="5" fillId="0" borderId="71" xfId="0" applyFont="1" applyFill="1" applyBorder="1"/>
    <xf numFmtId="164" fontId="5" fillId="0" borderId="8" xfId="1" applyNumberFormat="1" applyFont="1" applyFill="1" applyBorder="1" applyAlignment="1">
      <alignment horizontal="right"/>
    </xf>
    <xf numFmtId="165" fontId="5" fillId="0" borderId="8" xfId="1" applyNumberFormat="1" applyFont="1" applyFill="1" applyBorder="1"/>
    <xf numFmtId="4" fontId="5" fillId="0" borderId="8" xfId="0" applyNumberFormat="1" applyFont="1" applyFill="1" applyBorder="1"/>
    <xf numFmtId="166" fontId="5" fillId="0" borderId="8" xfId="0" applyNumberFormat="1" applyFont="1" applyFill="1" applyBorder="1"/>
    <xf numFmtId="167" fontId="5" fillId="0" borderId="8" xfId="0" applyNumberFormat="1" applyFont="1" applyFill="1" applyBorder="1"/>
    <xf numFmtId="3" fontId="5" fillId="0" borderId="8" xfId="0" applyNumberFormat="1" applyFont="1" applyFill="1" applyBorder="1" applyAlignment="1"/>
    <xf numFmtId="3" fontId="5" fillId="0" borderId="30" xfId="0" applyNumberFormat="1" applyFont="1" applyFill="1" applyBorder="1" applyAlignment="1"/>
    <xf numFmtId="0" fontId="5" fillId="0" borderId="29" xfId="0" applyFont="1" applyFill="1" applyBorder="1"/>
    <xf numFmtId="164" fontId="5" fillId="0" borderId="37" xfId="1" applyNumberFormat="1" applyFont="1" applyFill="1" applyBorder="1" applyAlignment="1">
      <alignment horizontal="right"/>
    </xf>
    <xf numFmtId="165" fontId="5" fillId="0" borderId="37" xfId="1" applyNumberFormat="1" applyFont="1" applyFill="1" applyBorder="1"/>
    <xf numFmtId="4" fontId="5" fillId="0" borderId="37" xfId="0" applyNumberFormat="1" applyFont="1" applyFill="1" applyBorder="1"/>
    <xf numFmtId="166" fontId="5" fillId="0" borderId="37" xfId="0" applyNumberFormat="1" applyFont="1" applyFill="1" applyBorder="1"/>
    <xf numFmtId="167" fontId="5" fillId="0" borderId="37" xfId="0" applyNumberFormat="1" applyFont="1" applyFill="1" applyBorder="1"/>
    <xf numFmtId="3" fontId="5" fillId="0" borderId="37" xfId="0" applyNumberFormat="1" applyFont="1" applyFill="1" applyBorder="1" applyAlignment="1"/>
    <xf numFmtId="3" fontId="5" fillId="0" borderId="38" xfId="0" applyNumberFormat="1" applyFont="1" applyFill="1" applyBorder="1" applyAlignment="1"/>
    <xf numFmtId="0" fontId="5" fillId="0" borderId="54" xfId="0" applyFont="1" applyFill="1" applyBorder="1"/>
    <xf numFmtId="164" fontId="6" fillId="0" borderId="52" xfId="1" applyNumberFormat="1" applyFont="1" applyFill="1" applyBorder="1" applyAlignment="1">
      <alignment horizontal="center"/>
    </xf>
    <xf numFmtId="165" fontId="6" fillId="0" borderId="52" xfId="1" applyNumberFormat="1" applyFont="1" applyFill="1" applyBorder="1"/>
    <xf numFmtId="4" fontId="6" fillId="0" borderId="37" xfId="0" applyNumberFormat="1" applyFont="1" applyFill="1" applyBorder="1"/>
    <xf numFmtId="166" fontId="6" fillId="0" borderId="37" xfId="0" applyNumberFormat="1" applyFont="1" applyFill="1" applyBorder="1"/>
    <xf numFmtId="3" fontId="6" fillId="0" borderId="37" xfId="0" applyNumberFormat="1" applyFont="1" applyFill="1" applyBorder="1"/>
    <xf numFmtId="3" fontId="6" fillId="0" borderId="52" xfId="0" applyNumberFormat="1" applyFont="1" applyFill="1" applyBorder="1" applyAlignment="1"/>
    <xf numFmtId="3" fontId="6" fillId="0" borderId="55" xfId="0" applyNumberFormat="1" applyFont="1" applyFill="1" applyBorder="1" applyAlignment="1"/>
    <xf numFmtId="0" fontId="6" fillId="0" borderId="72" xfId="0" applyFont="1" applyBorder="1" applyAlignment="1">
      <alignment horizontal="center" vertical="center" wrapText="1"/>
    </xf>
    <xf numFmtId="9" fontId="6" fillId="0" borderId="8" xfId="0" applyNumberFormat="1" applyFont="1" applyBorder="1" applyAlignment="1">
      <alignment horizontal="center" vertical="center" wrapText="1"/>
    </xf>
    <xf numFmtId="166" fontId="5" fillId="0" borderId="8" xfId="0" applyNumberFormat="1" applyFont="1" applyBorder="1"/>
    <xf numFmtId="3" fontId="5" fillId="0" borderId="30" xfId="0" applyNumberFormat="1" applyFont="1" applyBorder="1"/>
    <xf numFmtId="3" fontId="5" fillId="0" borderId="13" xfId="0" applyNumberFormat="1" applyFont="1" applyFill="1" applyBorder="1"/>
    <xf numFmtId="3" fontId="5" fillId="0" borderId="71" xfId="0" applyNumberFormat="1" applyFont="1" applyFill="1" applyBorder="1"/>
    <xf numFmtId="3" fontId="5" fillId="0" borderId="72" xfId="0" applyNumberFormat="1" applyFont="1" applyFill="1" applyBorder="1"/>
    <xf numFmtId="3" fontId="5" fillId="0" borderId="67" xfId="0" applyNumberFormat="1" applyFont="1" applyFill="1" applyBorder="1"/>
    <xf numFmtId="3" fontId="5" fillId="0" borderId="73" xfId="0" applyNumberFormat="1" applyFont="1" applyFill="1" applyBorder="1"/>
    <xf numFmtId="3" fontId="5" fillId="0" borderId="23" xfId="0" applyNumberFormat="1" applyFont="1" applyFill="1" applyBorder="1"/>
    <xf numFmtId="3" fontId="5" fillId="0" borderId="29" xfId="0" applyNumberFormat="1" applyFont="1" applyFill="1" applyBorder="1"/>
    <xf numFmtId="3" fontId="5" fillId="0" borderId="30" xfId="0" applyNumberFormat="1" applyFont="1" applyFill="1" applyBorder="1"/>
    <xf numFmtId="3" fontId="5" fillId="0" borderId="9" xfId="0" applyNumberFormat="1" applyFont="1" applyFill="1" applyBorder="1"/>
    <xf numFmtId="3" fontId="5" fillId="0" borderId="32" xfId="0" applyNumberFormat="1" applyFont="1" applyFill="1" applyBorder="1"/>
    <xf numFmtId="0" fontId="6" fillId="0" borderId="65" xfId="0" applyFont="1" applyFill="1" applyBorder="1" applyAlignment="1">
      <alignment horizontal="center"/>
    </xf>
    <xf numFmtId="3" fontId="5" fillId="0" borderId="67" xfId="0" applyNumberFormat="1" applyFont="1" applyBorder="1"/>
    <xf numFmtId="3" fontId="11" fillId="0" borderId="30" xfId="0" applyNumberFormat="1" applyFont="1" applyBorder="1" applyAlignment="1">
      <alignment horizontal="right" vertical="center" wrapText="1"/>
    </xf>
    <xf numFmtId="3" fontId="6" fillId="0" borderId="55" xfId="0" applyNumberFormat="1" applyFont="1" applyBorder="1"/>
    <xf numFmtId="0" fontId="5" fillId="0" borderId="20" xfId="0" applyFont="1" applyBorder="1"/>
    <xf numFmtId="9" fontId="6" fillId="0" borderId="29" xfId="0" applyNumberFormat="1" applyFont="1" applyBorder="1" applyAlignment="1">
      <alignment horizontal="center" vertical="center" wrapText="1"/>
    </xf>
    <xf numFmtId="166" fontId="5" fillId="0" borderId="29" xfId="0" applyNumberFormat="1" applyFont="1" applyBorder="1"/>
    <xf numFmtId="167" fontId="5" fillId="0" borderId="54" xfId="0" applyNumberFormat="1" applyFont="1" applyBorder="1" applyAlignment="1">
      <alignment horizontal="right"/>
    </xf>
    <xf numFmtId="49" fontId="6" fillId="0" borderId="65" xfId="0" applyNumberFormat="1" applyFont="1" applyFill="1" applyBorder="1" applyAlignment="1">
      <alignment horizontal="center"/>
    </xf>
    <xf numFmtId="0" fontId="6" fillId="0" borderId="45" xfId="0" applyFont="1" applyFill="1" applyBorder="1" applyAlignment="1">
      <alignment horizontal="center"/>
    </xf>
    <xf numFmtId="165" fontId="5" fillId="0" borderId="67" xfId="0" applyNumberFormat="1" applyFont="1" applyFill="1" applyBorder="1" applyAlignment="1">
      <alignment horizontal="right"/>
    </xf>
    <xf numFmtId="165" fontId="5" fillId="0" borderId="30" xfId="0" applyNumberFormat="1" applyFont="1" applyFill="1" applyBorder="1" applyAlignment="1">
      <alignment horizontal="right"/>
    </xf>
    <xf numFmtId="3" fontId="6" fillId="0" borderId="30" xfId="0" applyNumberFormat="1" applyFont="1" applyFill="1" applyBorder="1"/>
    <xf numFmtId="49" fontId="6" fillId="0" borderId="64" xfId="0" applyNumberFormat="1" applyFont="1" applyBorder="1" applyAlignment="1">
      <alignment horizontal="center"/>
    </xf>
    <xf numFmtId="49" fontId="6" fillId="0" borderId="65" xfId="0" applyNumberFormat="1" applyFont="1" applyBorder="1" applyAlignment="1">
      <alignment horizontal="center"/>
    </xf>
    <xf numFmtId="0" fontId="6" fillId="0" borderId="29" xfId="0" applyFont="1" applyBorder="1" applyAlignment="1">
      <alignment horizontal="center"/>
    </xf>
    <xf numFmtId="0" fontId="6" fillId="0" borderId="30" xfId="0" applyFont="1" applyFill="1" applyBorder="1" applyAlignment="1">
      <alignment horizontal="center"/>
    </xf>
    <xf numFmtId="49" fontId="6" fillId="0" borderId="44" xfId="0" applyNumberFormat="1" applyFont="1" applyBorder="1" applyAlignment="1">
      <alignment horizontal="center"/>
    </xf>
    <xf numFmtId="0" fontId="6" fillId="0" borderId="10" xfId="0" applyFont="1" applyBorder="1" applyAlignment="1">
      <alignment horizontal="center" vertical="center"/>
    </xf>
    <xf numFmtId="49" fontId="6" fillId="0" borderId="45" xfId="0" applyNumberFormat="1" applyFont="1" applyFill="1" applyBorder="1" applyAlignment="1">
      <alignment horizontal="center"/>
    </xf>
    <xf numFmtId="0" fontId="6" fillId="0" borderId="30" xfId="0" applyFont="1" applyFill="1" applyBorder="1" applyAlignment="1">
      <alignment horizontal="center" wrapText="1"/>
    </xf>
    <xf numFmtId="49" fontId="6" fillId="0" borderId="43" xfId="0" applyNumberFormat="1" applyFont="1" applyBorder="1" applyAlignment="1">
      <alignment horizontal="center"/>
    </xf>
    <xf numFmtId="0" fontId="6" fillId="0" borderId="5" xfId="0" applyFont="1" applyFill="1" applyBorder="1" applyAlignment="1">
      <alignment horizontal="center" vertical="center"/>
    </xf>
    <xf numFmtId="49" fontId="6" fillId="0" borderId="10" xfId="0" applyNumberFormat="1" applyFont="1" applyFill="1" applyBorder="1" applyAlignment="1">
      <alignment horizontal="center"/>
    </xf>
    <xf numFmtId="49" fontId="6" fillId="0" borderId="63" xfId="0" applyNumberFormat="1" applyFont="1" applyFill="1" applyBorder="1" applyAlignment="1">
      <alignment horizontal="center"/>
    </xf>
    <xf numFmtId="0" fontId="6" fillId="0" borderId="26" xfId="0" applyFont="1" applyFill="1" applyBorder="1" applyAlignment="1">
      <alignment horizontal="center" vertical="center"/>
    </xf>
    <xf numFmtId="49" fontId="6" fillId="0" borderId="47" xfId="0" applyNumberFormat="1" applyFont="1" applyBorder="1" applyAlignment="1">
      <alignment horizontal="center"/>
    </xf>
    <xf numFmtId="49" fontId="6" fillId="0" borderId="48" xfId="0" applyNumberFormat="1" applyFont="1" applyFill="1" applyBorder="1" applyAlignment="1">
      <alignment horizontal="center"/>
    </xf>
    <xf numFmtId="167" fontId="5" fillId="0" borderId="72" xfId="0" applyNumberFormat="1" applyFont="1" applyFill="1" applyBorder="1"/>
    <xf numFmtId="4" fontId="5" fillId="0" borderId="67" xfId="0" applyNumberFormat="1" applyFont="1" applyFill="1" applyBorder="1"/>
    <xf numFmtId="4" fontId="5" fillId="0" borderId="30" xfId="0" applyNumberFormat="1" applyFont="1" applyFill="1" applyBorder="1"/>
    <xf numFmtId="3" fontId="6" fillId="0" borderId="29" xfId="0" applyNumberFormat="1" applyFont="1" applyFill="1" applyBorder="1"/>
    <xf numFmtId="167" fontId="6" fillId="0" borderId="8" xfId="0" applyNumberFormat="1" applyFont="1" applyFill="1" applyBorder="1"/>
    <xf numFmtId="3" fontId="6" fillId="0" borderId="54" xfId="0" applyNumberFormat="1" applyFont="1" applyFill="1" applyBorder="1"/>
    <xf numFmtId="3" fontId="5" fillId="0" borderId="74" xfId="0" applyNumberFormat="1" applyFont="1" applyFill="1" applyBorder="1"/>
    <xf numFmtId="164" fontId="6" fillId="0" borderId="57" xfId="1" applyNumberFormat="1" applyFont="1" applyFill="1" applyBorder="1" applyAlignment="1">
      <alignment horizontal="center"/>
    </xf>
    <xf numFmtId="0" fontId="5" fillId="0" borderId="46" xfId="0" applyFont="1" applyBorder="1" applyAlignment="1">
      <alignment horizontal="center" vertical="center"/>
    </xf>
    <xf numFmtId="0" fontId="6" fillId="0" borderId="46"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62" xfId="0" applyFont="1" applyBorder="1" applyAlignment="1">
      <alignment horizontal="center" vertical="center"/>
    </xf>
    <xf numFmtId="0" fontId="8" fillId="0" borderId="24" xfId="0" applyFont="1" applyFill="1" applyBorder="1" applyAlignment="1">
      <alignment horizontal="center"/>
    </xf>
    <xf numFmtId="0" fontId="8" fillId="0" borderId="5" xfId="0" applyFont="1" applyFill="1" applyBorder="1" applyAlignment="1">
      <alignment horizontal="center"/>
    </xf>
    <xf numFmtId="0" fontId="8" fillId="0" borderId="29" xfId="0" applyFont="1" applyFill="1" applyBorder="1" applyAlignment="1">
      <alignment horizontal="center"/>
    </xf>
    <xf numFmtId="0" fontId="8" fillId="0" borderId="8" xfId="0" applyFont="1" applyFill="1" applyBorder="1" applyAlignment="1">
      <alignment horizontal="center"/>
    </xf>
    <xf numFmtId="9" fontId="8" fillId="0" borderId="8" xfId="0" applyNumberFormat="1" applyFont="1" applyFill="1" applyBorder="1" applyAlignment="1">
      <alignment horizontal="center"/>
    </xf>
    <xf numFmtId="49" fontId="8" fillId="0" borderId="35" xfId="0" applyNumberFormat="1" applyFont="1" applyFill="1" applyBorder="1" applyAlignment="1">
      <alignment horizontal="center"/>
    </xf>
    <xf numFmtId="49" fontId="8" fillId="0" borderId="37" xfId="0" applyNumberFormat="1" applyFont="1" applyFill="1" applyBorder="1" applyAlignment="1">
      <alignment horizontal="center"/>
    </xf>
    <xf numFmtId="49" fontId="8" fillId="0" borderId="38" xfId="0" applyNumberFormat="1" applyFont="1" applyFill="1" applyBorder="1" applyAlignment="1">
      <alignment horizontal="center"/>
    </xf>
    <xf numFmtId="3" fontId="8" fillId="0" borderId="29" xfId="0" applyNumberFormat="1" applyFont="1" applyFill="1" applyBorder="1" applyAlignment="1">
      <alignment horizontal="center"/>
    </xf>
    <xf numFmtId="3" fontId="8" fillId="0" borderId="8" xfId="0" applyNumberFormat="1" applyFont="1" applyFill="1" applyBorder="1" applyAlignment="1">
      <alignment horizontal="center"/>
    </xf>
    <xf numFmtId="4" fontId="8" fillId="0" borderId="8" xfId="0" applyNumberFormat="1" applyFont="1" applyFill="1" applyBorder="1" applyAlignment="1">
      <alignment horizontal="center" vertical="center" wrapText="1"/>
    </xf>
    <xf numFmtId="0" fontId="8" fillId="0" borderId="37" xfId="0" applyFont="1" applyFill="1" applyBorder="1" applyAlignment="1">
      <alignment horizontal="center"/>
    </xf>
    <xf numFmtId="49" fontId="14" fillId="0" borderId="37"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164" fontId="3" fillId="0" borderId="54" xfId="1" applyNumberFormat="1" applyFont="1" applyFill="1" applyBorder="1" applyAlignment="1">
      <alignment horizontal="center"/>
    </xf>
    <xf numFmtId="165" fontId="3" fillId="0" borderId="55" xfId="1" applyNumberFormat="1" applyFont="1" applyFill="1" applyBorder="1"/>
    <xf numFmtId="167" fontId="0" fillId="0" borderId="0" xfId="0" applyNumberFormat="1" applyFill="1" applyBorder="1"/>
    <xf numFmtId="0" fontId="33" fillId="0" borderId="0" xfId="0" applyFont="1" applyFill="1"/>
    <xf numFmtId="0" fontId="33" fillId="0" borderId="0" xfId="0" applyFont="1" applyFill="1" applyAlignment="1">
      <alignment horizontal="center"/>
    </xf>
    <xf numFmtId="4" fontId="33" fillId="0" borderId="0" xfId="0" applyNumberFormat="1" applyFont="1" applyFill="1" applyAlignment="1">
      <alignment horizontal="center"/>
    </xf>
    <xf numFmtId="0" fontId="17" fillId="0" borderId="0" xfId="0" applyFont="1" applyFill="1"/>
    <xf numFmtId="0" fontId="17" fillId="0" borderId="0" xfId="0" applyFont="1"/>
    <xf numFmtId="0" fontId="33" fillId="0" borderId="0" xfId="0" applyFont="1" applyBorder="1" applyAlignment="1">
      <alignment horizontal="center" vertical="center"/>
    </xf>
    <xf numFmtId="0" fontId="17" fillId="0" borderId="0" xfId="0" applyFont="1" applyAlignment="1"/>
    <xf numFmtId="170" fontId="17" fillId="0" borderId="0" xfId="0" applyNumberFormat="1" applyFont="1" applyFill="1"/>
    <xf numFmtId="4" fontId="34" fillId="0" borderId="0" xfId="0" applyNumberFormat="1" applyFont="1"/>
    <xf numFmtId="4" fontId="34" fillId="0" borderId="0" xfId="0" applyNumberFormat="1" applyFont="1" applyFill="1"/>
    <xf numFmtId="0" fontId="16" fillId="0" borderId="0" xfId="0" applyFont="1"/>
    <xf numFmtId="0" fontId="16" fillId="0" borderId="0" xfId="0" applyFont="1" applyAlignment="1"/>
    <xf numFmtId="0" fontId="16" fillId="0" borderId="0" xfId="0" applyFont="1" applyFill="1"/>
    <xf numFmtId="0" fontId="35" fillId="0" borderId="5" xfId="0" applyFont="1" applyBorder="1" applyAlignment="1">
      <alignment horizontal="center"/>
    </xf>
    <xf numFmtId="0" fontId="35" fillId="0" borderId="5" xfId="0" applyFont="1" applyBorder="1" applyAlignment="1">
      <alignment horizontal="center" vertical="center"/>
    </xf>
    <xf numFmtId="0" fontId="35" fillId="0" borderId="8" xfId="0" applyFont="1" applyBorder="1" applyAlignment="1">
      <alignment horizontal="center"/>
    </xf>
    <xf numFmtId="0" fontId="35" fillId="0" borderId="8" xfId="0" applyFont="1" applyBorder="1" applyAlignment="1">
      <alignment horizontal="center" vertical="center"/>
    </xf>
    <xf numFmtId="49" fontId="35" fillId="0" borderId="8" xfId="0" applyNumberFormat="1" applyFont="1" applyBorder="1" applyAlignment="1">
      <alignment horizontal="center"/>
    </xf>
    <xf numFmtId="49" fontId="35" fillId="0" borderId="10" xfId="0" applyNumberFormat="1" applyFont="1" applyBorder="1" applyAlignment="1">
      <alignment horizontal="center"/>
    </xf>
    <xf numFmtId="0" fontId="16" fillId="0" borderId="27" xfId="0" applyFont="1" applyBorder="1"/>
    <xf numFmtId="164" fontId="16" fillId="0" borderId="6" xfId="1" applyNumberFormat="1" applyFont="1" applyBorder="1" applyAlignment="1">
      <alignment horizontal="center"/>
    </xf>
    <xf numFmtId="4" fontId="16" fillId="0" borderId="6" xfId="0" applyNumberFormat="1" applyFont="1" applyBorder="1"/>
    <xf numFmtId="4" fontId="16" fillId="0" borderId="0" xfId="0" applyNumberFormat="1" applyFont="1"/>
    <xf numFmtId="4" fontId="36" fillId="0" borderId="0" xfId="0" applyNumberFormat="1" applyFont="1"/>
    <xf numFmtId="0" fontId="16" fillId="0" borderId="70" xfId="0" applyFont="1" applyBorder="1"/>
    <xf numFmtId="164" fontId="16" fillId="0" borderId="0" xfId="1" applyNumberFormat="1" applyFont="1" applyBorder="1" applyAlignment="1">
      <alignment horizontal="center"/>
    </xf>
    <xf numFmtId="4" fontId="16" fillId="0" borderId="0" xfId="0" applyNumberFormat="1" applyFont="1" applyBorder="1"/>
    <xf numFmtId="0" fontId="35" fillId="0" borderId="4" xfId="0" applyFont="1" applyBorder="1"/>
    <xf numFmtId="164" fontId="35" fillId="0" borderId="4" xfId="1" applyNumberFormat="1" applyFont="1" applyBorder="1" applyAlignment="1">
      <alignment horizontal="center"/>
    </xf>
    <xf numFmtId="4" fontId="35" fillId="0" borderId="4" xfId="0" applyNumberFormat="1" applyFont="1" applyBorder="1"/>
    <xf numFmtId="2" fontId="35" fillId="0" borderId="4" xfId="0" applyNumberFormat="1" applyFont="1" applyBorder="1"/>
    <xf numFmtId="0" fontId="37" fillId="0" borderId="0" xfId="0" applyFont="1" applyFill="1" applyAlignment="1"/>
    <xf numFmtId="0" fontId="35" fillId="0" borderId="0" xfId="0" applyFont="1" applyFill="1" applyBorder="1" applyAlignment="1">
      <alignment horizontal="left"/>
    </xf>
    <xf numFmtId="0" fontId="37" fillId="0" borderId="0" xfId="0" applyFont="1" applyFill="1" applyBorder="1" applyAlignment="1">
      <alignment horizontal="left"/>
    </xf>
    <xf numFmtId="0" fontId="13" fillId="0" borderId="0" xfId="0" applyFont="1"/>
    <xf numFmtId="0" fontId="16"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6" fillId="0" borderId="0" xfId="0" applyFont="1" applyAlignment="1">
      <alignment vertical="justify"/>
    </xf>
    <xf numFmtId="0" fontId="16" fillId="0" borderId="0" xfId="0" applyFont="1" applyAlignment="1">
      <alignment vertical="center" wrapText="1"/>
    </xf>
    <xf numFmtId="165" fontId="38" fillId="0" borderId="0" xfId="0" applyNumberFormat="1" applyFont="1" applyAlignment="1">
      <alignment vertical="center" wrapText="1"/>
    </xf>
    <xf numFmtId="165" fontId="16" fillId="0" borderId="0" xfId="0" applyNumberFormat="1" applyFont="1" applyAlignment="1">
      <alignment horizontal="left" vertical="center" wrapText="1"/>
    </xf>
    <xf numFmtId="0" fontId="16" fillId="0" borderId="0" xfId="0" applyFont="1" applyAlignment="1">
      <alignment horizontal="left" vertical="justify"/>
    </xf>
    <xf numFmtId="49" fontId="6" fillId="0" borderId="37" xfId="0" applyNumberFormat="1" applyFont="1" applyFill="1" applyBorder="1" applyAlignment="1">
      <alignment horizontal="center" vertical="justify"/>
    </xf>
    <xf numFmtId="49" fontId="6" fillId="0" borderId="38" xfId="0" applyNumberFormat="1" applyFont="1" applyFill="1" applyBorder="1" applyAlignment="1">
      <alignment horizontal="center" vertical="justify"/>
    </xf>
    <xf numFmtId="49" fontId="6" fillId="0" borderId="35"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0" fontId="6" fillId="0" borderId="38" xfId="0" applyFont="1" applyBorder="1" applyAlignment="1">
      <alignment horizontal="center" vertical="center" wrapText="1"/>
    </xf>
    <xf numFmtId="49" fontId="6" fillId="0" borderId="38" xfId="0" applyNumberFormat="1" applyFont="1" applyBorder="1" applyAlignment="1">
      <alignment horizontal="center" vertical="center" wrapText="1"/>
    </xf>
    <xf numFmtId="0" fontId="0" fillId="0" borderId="0" xfId="0" applyAlignment="1">
      <alignment horizontal="left"/>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6" fillId="0" borderId="8" xfId="0" applyNumberFormat="1" applyFont="1" applyBorder="1" applyAlignment="1">
      <alignment horizontal="center" vertical="justify" wrapText="1"/>
    </xf>
    <xf numFmtId="0" fontId="4" fillId="0" borderId="70" xfId="0" applyFont="1" applyBorder="1" applyAlignment="1">
      <alignment horizontal="left"/>
    </xf>
    <xf numFmtId="0" fontId="4" fillId="0" borderId="9" xfId="0" applyFont="1" applyBorder="1" applyAlignment="1">
      <alignment horizontal="left"/>
    </xf>
    <xf numFmtId="49" fontId="4" fillId="0" borderId="43" xfId="0" applyNumberFormat="1" applyFont="1" applyBorder="1" applyAlignment="1">
      <alignment horizontal="left"/>
    </xf>
    <xf numFmtId="49" fontId="4" fillId="0" borderId="12" xfId="0" applyNumberFormat="1" applyFont="1" applyBorder="1" applyAlignment="1">
      <alignment horizontal="left"/>
    </xf>
    <xf numFmtId="0" fontId="4" fillId="0" borderId="27" xfId="0" applyFont="1" applyBorder="1" applyAlignment="1">
      <alignment horizontal="left"/>
    </xf>
    <xf numFmtId="0" fontId="4" fillId="0" borderId="7" xfId="0" applyFont="1" applyBorder="1" applyAlignment="1">
      <alignment horizontal="left"/>
    </xf>
    <xf numFmtId="0" fontId="4" fillId="0" borderId="43" xfId="0" applyFont="1" applyBorder="1" applyAlignment="1">
      <alignment horizontal="left"/>
    </xf>
    <xf numFmtId="0" fontId="4" fillId="0" borderId="12" xfId="0" applyFont="1" applyBorder="1" applyAlignment="1">
      <alignment horizontal="lef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distributed"/>
    </xf>
    <xf numFmtId="0" fontId="4" fillId="0" borderId="2" xfId="0" applyFont="1" applyBorder="1" applyAlignment="1">
      <alignment horizontal="center" vertical="distributed"/>
    </xf>
    <xf numFmtId="0" fontId="4" fillId="0" borderId="3" xfId="0" applyFont="1" applyBorder="1" applyAlignment="1">
      <alignment horizontal="center" vertical="distributed"/>
    </xf>
    <xf numFmtId="0" fontId="4" fillId="0" borderId="4" xfId="0" applyFont="1" applyBorder="1" applyAlignment="1">
      <alignment horizontal="center" vertical="distributed"/>
    </xf>
    <xf numFmtId="0" fontId="3" fillId="0" borderId="0" xfId="0" applyFont="1" applyAlignment="1">
      <alignment horizontal="center"/>
    </xf>
    <xf numFmtId="0" fontId="3" fillId="0" borderId="0" xfId="0" applyFont="1" applyAlignment="1">
      <alignment horizontal="center" vertical="justify"/>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9" fillId="0" borderId="0" xfId="0" applyFont="1" applyAlignment="1">
      <alignment horizontal="center" vertical="justify"/>
    </xf>
    <xf numFmtId="0" fontId="9"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pplyAlignment="1">
      <alignment vertical="center" wrapText="1"/>
    </xf>
    <xf numFmtId="2" fontId="6" fillId="0" borderId="4" xfId="0" applyNumberFormat="1" applyFont="1" applyBorder="1" applyAlignment="1">
      <alignment horizontal="center" wrapText="1"/>
    </xf>
    <xf numFmtId="0" fontId="0" fillId="0" borderId="33" xfId="0" applyBorder="1" applyAlignment="1">
      <alignment vertical="center" wrapText="1"/>
    </xf>
    <xf numFmtId="0" fontId="6" fillId="0" borderId="4" xfId="0" applyFont="1" applyBorder="1" applyAlignment="1">
      <alignment horizontal="center"/>
    </xf>
    <xf numFmtId="4" fontId="6"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3" xfId="0"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9" fillId="0" borderId="18" xfId="0" applyFont="1" applyBorder="1" applyAlignment="1">
      <alignment horizontal="center" vertical="center" wrapText="1"/>
    </xf>
    <xf numFmtId="0" fontId="7" fillId="0" borderId="7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36" xfId="0" applyFont="1" applyFill="1" applyBorder="1" applyAlignment="1">
      <alignment horizontal="center" vertical="center" wrapText="1"/>
    </xf>
    <xf numFmtId="165" fontId="16" fillId="0" borderId="0" xfId="0" applyNumberFormat="1" applyFont="1" applyAlignment="1">
      <alignment horizontal="left" vertical="center" wrapText="1"/>
    </xf>
    <xf numFmtId="0" fontId="16" fillId="0" borderId="0" xfId="0" applyFont="1" applyFill="1" applyAlignment="1">
      <alignment horizontal="left" wrapText="1"/>
    </xf>
    <xf numFmtId="0" fontId="16" fillId="0" borderId="14" xfId="0" applyFont="1" applyFill="1" applyBorder="1" applyAlignment="1">
      <alignment horizontal="left"/>
    </xf>
    <xf numFmtId="0" fontId="16" fillId="0" borderId="0" xfId="0" applyFont="1" applyAlignment="1">
      <alignment horizontal="left" vertical="center" wrapText="1"/>
    </xf>
    <xf numFmtId="0" fontId="0" fillId="0" borderId="3" xfId="0" applyBorder="1" applyAlignment="1">
      <alignment horizontal="center" vertical="center" wrapText="1"/>
    </xf>
    <xf numFmtId="0" fontId="8" fillId="0" borderId="5"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4" fontId="8" fillId="0" borderId="5" xfId="0" applyNumberFormat="1"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58" xfId="0" applyFont="1" applyBorder="1" applyAlignment="1">
      <alignment horizontal="center" vertical="center" wrapText="1"/>
    </xf>
    <xf numFmtId="0" fontId="2" fillId="0" borderId="0" xfId="0" applyFont="1" applyAlignment="1">
      <alignment horizont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2" fontId="8" fillId="0" borderId="2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44"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30" xfId="0"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38" fillId="0" borderId="0" xfId="0" applyFont="1" applyAlignment="1">
      <alignment horizontal="left" vertical="center" wrapText="1"/>
    </xf>
    <xf numFmtId="165" fontId="38" fillId="0" borderId="0" xfId="0" applyNumberFormat="1" applyFont="1" applyAlignment="1">
      <alignment horizontal="left"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0"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vertical="justify"/>
    </xf>
    <xf numFmtId="0" fontId="6" fillId="0" borderId="29" xfId="0" applyFont="1" applyBorder="1" applyAlignment="1">
      <alignment horizontal="center" vertical="justify"/>
    </xf>
    <xf numFmtId="0" fontId="6" fillId="0" borderId="44" xfId="0" applyFont="1" applyBorder="1" applyAlignment="1">
      <alignment horizontal="center" vertical="justify"/>
    </xf>
    <xf numFmtId="0" fontId="6" fillId="0" borderId="26" xfId="0" applyFont="1" applyBorder="1" applyAlignment="1">
      <alignment horizontal="center" vertical="justify"/>
    </xf>
    <xf numFmtId="0" fontId="6" fillId="0" borderId="30" xfId="0" applyFont="1" applyBorder="1" applyAlignment="1">
      <alignment horizontal="center" vertical="justify"/>
    </xf>
    <xf numFmtId="0" fontId="6" fillId="0" borderId="45" xfId="0" applyFont="1" applyBorder="1" applyAlignment="1">
      <alignment horizontal="center" vertical="justify"/>
    </xf>
    <xf numFmtId="0" fontId="6" fillId="0" borderId="20" xfId="0" applyFont="1" applyBorder="1" applyAlignment="1">
      <alignment horizontal="left"/>
    </xf>
    <xf numFmtId="0" fontId="6" fillId="0" borderId="21" xfId="0" applyFont="1" applyBorder="1" applyAlignment="1">
      <alignment horizontal="left"/>
    </xf>
    <xf numFmtId="0" fontId="16" fillId="0" borderId="14" xfId="0" applyFont="1" applyBorder="1" applyAlignment="1">
      <alignment horizontal="left" vertical="center"/>
    </xf>
    <xf numFmtId="0" fontId="16" fillId="0" borderId="0" xfId="0" applyFont="1" applyAlignment="1">
      <alignment horizontal="left" vertical="justify"/>
    </xf>
    <xf numFmtId="0" fontId="6" fillId="0" borderId="0" xfId="0" applyFont="1" applyAlignment="1">
      <alignment horizontal="center" vertical="center"/>
    </xf>
    <xf numFmtId="0" fontId="19" fillId="0" borderId="0" xfId="0" applyFont="1" applyBorder="1" applyAlignment="1">
      <alignment horizontal="center" vertical="center"/>
    </xf>
    <xf numFmtId="0" fontId="6" fillId="0" borderId="0" xfId="0" applyFont="1" applyBorder="1" applyAlignment="1">
      <alignment horizontal="center" vertical="center"/>
    </xf>
    <xf numFmtId="0" fontId="6" fillId="0" borderId="56" xfId="0" applyFont="1" applyBorder="1" applyAlignment="1">
      <alignment horizontal="center" vertical="center" textRotation="90"/>
    </xf>
    <xf numFmtId="0" fontId="6" fillId="0" borderId="58" xfId="0" applyFont="1" applyBorder="1" applyAlignment="1">
      <alignment horizontal="center" vertical="center" textRotation="90"/>
    </xf>
    <xf numFmtId="0" fontId="6" fillId="0" borderId="60" xfId="0" applyFont="1" applyBorder="1" applyAlignment="1">
      <alignment horizontal="center" vertical="center" textRotation="90"/>
    </xf>
    <xf numFmtId="2" fontId="6" fillId="0" borderId="67" xfId="0" applyNumberFormat="1" applyFont="1" applyBorder="1" applyAlignment="1">
      <alignment horizontal="center" vertical="justify"/>
    </xf>
    <xf numFmtId="2" fontId="6" fillId="0" borderId="30" xfId="0" applyNumberFormat="1" applyFont="1" applyBorder="1" applyAlignment="1">
      <alignment horizontal="center" vertical="justify"/>
    </xf>
    <xf numFmtId="2" fontId="6" fillId="0" borderId="45" xfId="0" applyNumberFormat="1" applyFont="1" applyBorder="1" applyAlignment="1">
      <alignment horizontal="center" vertical="justify"/>
    </xf>
    <xf numFmtId="1" fontId="6" fillId="0" borderId="78" xfId="0" applyNumberFormat="1" applyFont="1" applyBorder="1" applyAlignment="1">
      <alignment horizontal="center"/>
    </xf>
    <xf numFmtId="1" fontId="6" fillId="0" borderId="11" xfId="0" applyNumberFormat="1" applyFont="1" applyBorder="1" applyAlignment="1">
      <alignment horizontal="center"/>
    </xf>
    <xf numFmtId="0" fontId="6" fillId="0" borderId="78" xfId="0" applyFont="1" applyBorder="1" applyAlignment="1">
      <alignment horizontal="center"/>
    </xf>
    <xf numFmtId="0" fontId="6" fillId="0" borderId="12" xfId="0" applyFont="1" applyBorder="1" applyAlignment="1">
      <alignment horizontal="center"/>
    </xf>
    <xf numFmtId="0" fontId="6" fillId="0" borderId="26" xfId="0" applyFont="1" applyFill="1" applyBorder="1" applyAlignment="1">
      <alignment horizontal="center" wrapText="1"/>
    </xf>
    <xf numFmtId="0" fontId="6" fillId="0" borderId="30" xfId="0" applyFont="1" applyFill="1" applyBorder="1" applyAlignment="1">
      <alignment horizontal="center" wrapText="1"/>
    </xf>
    <xf numFmtId="0" fontId="6" fillId="0" borderId="45" xfId="0" applyFont="1" applyFill="1" applyBorder="1" applyAlignment="1">
      <alignment horizontal="center" wrapText="1"/>
    </xf>
    <xf numFmtId="0" fontId="6" fillId="0" borderId="0" xfId="0" applyFont="1" applyBorder="1" applyAlignment="1">
      <alignment horizontal="center" vertical="justify"/>
    </xf>
    <xf numFmtId="0" fontId="6" fillId="0" borderId="7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72" xfId="0" applyFont="1" applyBorder="1" applyAlignment="1">
      <alignment horizontal="center" vertical="justify"/>
    </xf>
    <xf numFmtId="0" fontId="6" fillId="0" borderId="8" xfId="0" applyFont="1" applyBorder="1" applyAlignment="1">
      <alignment horizontal="center" vertical="justify"/>
    </xf>
    <xf numFmtId="0" fontId="2" fillId="0" borderId="0" xfId="0" applyFont="1" applyBorder="1" applyAlignment="1">
      <alignment horizontal="center"/>
    </xf>
    <xf numFmtId="0" fontId="6" fillId="0" borderId="72"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72" xfId="0" applyFont="1" applyFill="1" applyBorder="1" applyAlignment="1">
      <alignment horizontal="center" vertical="justify"/>
    </xf>
    <xf numFmtId="0" fontId="6" fillId="0" borderId="8" xfId="0" applyFont="1" applyFill="1" applyBorder="1" applyAlignment="1">
      <alignment horizontal="center" vertical="justify"/>
    </xf>
    <xf numFmtId="0" fontId="6" fillId="0" borderId="67" xfId="0" applyFont="1" applyFill="1" applyBorder="1" applyAlignment="1">
      <alignment horizontal="center" vertical="justify"/>
    </xf>
    <xf numFmtId="0" fontId="6" fillId="0" borderId="30" xfId="0" applyFont="1" applyFill="1" applyBorder="1" applyAlignment="1">
      <alignment horizontal="center" vertical="justify"/>
    </xf>
    <xf numFmtId="0" fontId="6" fillId="0" borderId="71"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9" fillId="0" borderId="0" xfId="0" applyFont="1" applyAlignment="1">
      <alignment horizontal="center"/>
    </xf>
    <xf numFmtId="0" fontId="6" fillId="0" borderId="67"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6" fillId="0" borderId="0" xfId="0" applyFont="1" applyBorder="1" applyAlignment="1">
      <alignment horizontal="left" vertical="center"/>
    </xf>
    <xf numFmtId="0" fontId="20" fillId="0" borderId="0" xfId="0" applyFont="1" applyAlignment="1">
      <alignment horizontal="center"/>
    </xf>
    <xf numFmtId="0" fontId="12" fillId="0" borderId="7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2" xfId="0" applyFont="1" applyFill="1" applyBorder="1" applyAlignment="1">
      <alignment horizontal="center" vertical="justify"/>
    </xf>
    <xf numFmtId="0" fontId="12" fillId="0" borderId="8" xfId="0" applyFont="1" applyFill="1" applyBorder="1" applyAlignment="1">
      <alignment horizontal="center" vertical="justify"/>
    </xf>
    <xf numFmtId="0" fontId="12" fillId="0" borderId="67" xfId="0" applyFont="1" applyFill="1" applyBorder="1" applyAlignment="1">
      <alignment horizontal="center" vertical="justify"/>
    </xf>
    <xf numFmtId="0" fontId="12" fillId="0" borderId="30" xfId="0" applyFont="1" applyFill="1" applyBorder="1" applyAlignment="1">
      <alignment horizontal="center" vertical="justify"/>
    </xf>
    <xf numFmtId="0" fontId="0" fillId="0" borderId="0" xfId="0" applyAlignment="1">
      <alignment horizontal="right"/>
    </xf>
    <xf numFmtId="0" fontId="35" fillId="0" borderId="0" xfId="0" applyFont="1" applyFill="1" applyBorder="1" applyAlignment="1">
      <alignment horizontal="left"/>
    </xf>
    <xf numFmtId="0" fontId="40" fillId="0" borderId="0" xfId="0" applyFont="1" applyAlignment="1">
      <alignment horizontal="left" vertical="justify"/>
    </xf>
    <xf numFmtId="0" fontId="6" fillId="0" borderId="0" xfId="0" applyFont="1" applyBorder="1" applyAlignment="1">
      <alignment horizontal="center" vertical="center" wrapText="1"/>
    </xf>
    <xf numFmtId="2" fontId="6" fillId="0" borderId="72"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49" fontId="6" fillId="0" borderId="0" xfId="0" applyNumberFormat="1" applyFont="1" applyAlignment="1">
      <alignment horizontal="center"/>
    </xf>
    <xf numFmtId="0" fontId="6" fillId="0" borderId="6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1" xfId="0" applyFont="1" applyBorder="1" applyAlignment="1">
      <alignment horizontal="center"/>
    </xf>
    <xf numFmtId="0" fontId="6" fillId="0" borderId="15"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5" xfId="0" applyFont="1" applyFill="1" applyBorder="1" applyAlignment="1">
      <alignment horizontal="center"/>
    </xf>
    <xf numFmtId="0" fontId="6" fillId="0" borderId="76" xfId="0" applyFont="1" applyFill="1" applyBorder="1" applyAlignment="1">
      <alignment horizontal="center"/>
    </xf>
    <xf numFmtId="0" fontId="6" fillId="0" borderId="19" xfId="0" applyFont="1" applyFill="1" applyBorder="1" applyAlignment="1">
      <alignment horizontal="center"/>
    </xf>
    <xf numFmtId="0" fontId="6" fillId="0" borderId="77" xfId="0" applyFont="1" applyFill="1" applyBorder="1" applyAlignment="1">
      <alignment horizontal="center"/>
    </xf>
    <xf numFmtId="0" fontId="0" fillId="0" borderId="30" xfId="0" applyBorder="1" applyAlignment="1">
      <alignment horizontal="center" vertical="center" wrapText="1"/>
    </xf>
    <xf numFmtId="0" fontId="0" fillId="0" borderId="38" xfId="0" applyBorder="1" applyAlignment="1">
      <alignment horizontal="center" vertical="center" wrapText="1"/>
    </xf>
    <xf numFmtId="0" fontId="28" fillId="0" borderId="0" xfId="2" applyFont="1" applyAlignment="1">
      <alignment horizontal="center"/>
    </xf>
    <xf numFmtId="0" fontId="29" fillId="0" borderId="0" xfId="2" applyFont="1" applyAlignment="1">
      <alignment horizontal="center"/>
    </xf>
    <xf numFmtId="0" fontId="30"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5" fillId="0" borderId="23" xfId="0" applyFont="1" applyFill="1" applyBorder="1" applyAlignment="1">
      <alignment horizontal="left"/>
    </xf>
    <xf numFmtId="0" fontId="5" fillId="0" borderId="0" xfId="0" applyFont="1" applyFill="1" applyBorder="1" applyAlignment="1">
      <alignment horizontal="left"/>
    </xf>
    <xf numFmtId="0" fontId="5" fillId="0" borderId="31" xfId="0" applyFont="1" applyFill="1" applyBorder="1" applyAlignment="1">
      <alignment horizontal="lef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63" xfId="0" applyFont="1" applyBorder="1" applyAlignment="1">
      <alignment horizontal="center"/>
    </xf>
    <xf numFmtId="0" fontId="6" fillId="0" borderId="69" xfId="0" applyFont="1" applyBorder="1" applyAlignment="1">
      <alignment horizontal="center"/>
    </xf>
    <xf numFmtId="0" fontId="6" fillId="0" borderId="66" xfId="0" applyFont="1" applyBorder="1" applyAlignment="1">
      <alignment horizontal="center"/>
    </xf>
    <xf numFmtId="0" fontId="6" fillId="0" borderId="23" xfId="0" applyFont="1" applyFill="1" applyBorder="1" applyAlignment="1">
      <alignment horizontal="left"/>
    </xf>
    <xf numFmtId="0" fontId="6" fillId="0" borderId="0" xfId="0" applyFont="1" applyFill="1" applyBorder="1" applyAlignment="1">
      <alignment horizontal="left"/>
    </xf>
    <xf numFmtId="0" fontId="6" fillId="0" borderId="31" xfId="0" applyFont="1" applyFill="1" applyBorder="1" applyAlignment="1">
      <alignment horizontal="left"/>
    </xf>
    <xf numFmtId="4" fontId="5" fillId="0" borderId="31" xfId="0" applyNumberFormat="1" applyFont="1" applyFill="1" applyBorder="1" applyAlignment="1">
      <alignment horizontal="right"/>
    </xf>
    <xf numFmtId="0" fontId="5" fillId="0" borderId="23" xfId="0" applyFont="1" applyFill="1" applyBorder="1" applyAlignment="1">
      <alignment horizontal="right"/>
    </xf>
    <xf numFmtId="0" fontId="5" fillId="0" borderId="0" xfId="0" applyFont="1" applyFill="1" applyBorder="1" applyAlignment="1">
      <alignment horizontal="right"/>
    </xf>
    <xf numFmtId="0" fontId="5" fillId="0" borderId="31" xfId="0" applyFont="1" applyFill="1" applyBorder="1" applyAlignment="1">
      <alignment horizontal="right"/>
    </xf>
    <xf numFmtId="0" fontId="5" fillId="0" borderId="20" xfId="0" applyFont="1" applyFill="1" applyBorder="1" applyAlignment="1">
      <alignment horizontal="left"/>
    </xf>
    <xf numFmtId="0" fontId="5" fillId="0" borderId="57" xfId="0" applyFont="1" applyFill="1" applyBorder="1" applyAlignment="1">
      <alignment horizontal="left"/>
    </xf>
    <xf numFmtId="0" fontId="5" fillId="0" borderId="21" xfId="0" applyFont="1" applyFill="1" applyBorder="1" applyAlignment="1">
      <alignment horizontal="left"/>
    </xf>
    <xf numFmtId="4" fontId="5" fillId="0" borderId="20" xfId="0" applyNumberFormat="1" applyFont="1" applyFill="1" applyBorder="1" applyAlignment="1">
      <alignment horizontal="right"/>
    </xf>
    <xf numFmtId="4" fontId="5" fillId="0" borderId="57" xfId="0" applyNumberFormat="1" applyFont="1" applyFill="1" applyBorder="1" applyAlignment="1">
      <alignment horizontal="right"/>
    </xf>
    <xf numFmtId="4" fontId="5" fillId="0" borderId="21" xfId="0" applyNumberFormat="1" applyFont="1" applyFill="1" applyBorder="1" applyAlignment="1">
      <alignment horizontal="right"/>
    </xf>
    <xf numFmtId="0" fontId="5" fillId="0" borderId="70" xfId="0" applyFont="1" applyFill="1" applyBorder="1" applyAlignment="1">
      <alignment horizontal="left"/>
    </xf>
    <xf numFmtId="0" fontId="5" fillId="0" borderId="9" xfId="0" applyFont="1" applyFill="1" applyBorder="1" applyAlignment="1">
      <alignment horizontal="left"/>
    </xf>
    <xf numFmtId="0" fontId="6" fillId="0" borderId="20" xfId="0" applyFont="1" applyFill="1" applyBorder="1" applyAlignment="1">
      <alignment horizontal="left"/>
    </xf>
    <xf numFmtId="0" fontId="6" fillId="0" borderId="57" xfId="0" applyFont="1" applyFill="1" applyBorder="1" applyAlignment="1">
      <alignment horizontal="left"/>
    </xf>
    <xf numFmtId="0" fontId="6" fillId="0" borderId="21" xfId="0" applyFont="1" applyFill="1" applyBorder="1" applyAlignment="1">
      <alignment horizontal="left"/>
    </xf>
    <xf numFmtId="4" fontId="6" fillId="0" borderId="20" xfId="0" applyNumberFormat="1" applyFont="1" applyFill="1" applyBorder="1" applyAlignment="1">
      <alignment horizontal="right"/>
    </xf>
    <xf numFmtId="4" fontId="6" fillId="0" borderId="57" xfId="0" applyNumberFormat="1" applyFont="1" applyFill="1" applyBorder="1" applyAlignment="1">
      <alignment horizontal="right"/>
    </xf>
    <xf numFmtId="0" fontId="6" fillId="0" borderId="21" xfId="0" applyFont="1" applyFill="1" applyBorder="1" applyAlignment="1">
      <alignment horizontal="right"/>
    </xf>
    <xf numFmtId="0" fontId="5" fillId="0" borderId="70" xfId="0" applyFont="1" applyFill="1" applyBorder="1" applyAlignment="1">
      <alignment horizontal="right"/>
    </xf>
    <xf numFmtId="0" fontId="5" fillId="0" borderId="9" xfId="0" applyFont="1" applyFill="1" applyBorder="1" applyAlignment="1">
      <alignment horizontal="right"/>
    </xf>
    <xf numFmtId="4" fontId="5" fillId="0" borderId="70" xfId="0" applyNumberFormat="1" applyFont="1" applyFill="1" applyBorder="1" applyAlignment="1">
      <alignment horizontal="right"/>
    </xf>
    <xf numFmtId="4" fontId="5" fillId="0" borderId="9" xfId="0" applyNumberFormat="1" applyFont="1" applyFill="1" applyBorder="1" applyAlignment="1">
      <alignment horizontal="right"/>
    </xf>
    <xf numFmtId="0" fontId="6" fillId="0" borderId="70" xfId="0" applyFont="1" applyFill="1" applyBorder="1" applyAlignment="1">
      <alignment horizontal="left"/>
    </xf>
    <xf numFmtId="0" fontId="6" fillId="0" borderId="9" xfId="0" applyFont="1" applyFill="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left"/>
    </xf>
    <xf numFmtId="0" fontId="6" fillId="0" borderId="2" xfId="0" applyFont="1" applyFill="1" applyBorder="1" applyAlignment="1">
      <alignment horizontal="left"/>
    </xf>
    <xf numFmtId="0" fontId="6" fillId="0" borderId="3" xfId="0" applyFont="1" applyFill="1" applyBorder="1" applyAlignment="1">
      <alignment horizontal="left"/>
    </xf>
    <xf numFmtId="0" fontId="6" fillId="0" borderId="1" xfId="0" applyFont="1" applyFill="1" applyBorder="1" applyAlignment="1">
      <alignment horizontal="right"/>
    </xf>
    <xf numFmtId="0" fontId="6" fillId="0" borderId="2" xfId="0" applyFont="1" applyFill="1" applyBorder="1" applyAlignment="1">
      <alignment horizontal="right"/>
    </xf>
    <xf numFmtId="0" fontId="6" fillId="0" borderId="3" xfId="0" applyFont="1" applyFill="1" applyBorder="1" applyAlignment="1">
      <alignment horizontal="right"/>
    </xf>
    <xf numFmtId="0" fontId="6" fillId="0" borderId="4"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xf>
    <xf numFmtId="0" fontId="6" fillId="0" borderId="7" xfId="0" applyFont="1" applyBorder="1" applyAlignment="1">
      <alignment horizontal="center"/>
    </xf>
    <xf numFmtId="0" fontId="6" fillId="0" borderId="43" xfId="0" applyFont="1" applyBorder="1" applyAlignment="1">
      <alignment horizontal="center"/>
    </xf>
    <xf numFmtId="0" fontId="6" fillId="0" borderId="11"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76" xfId="0" applyFont="1" applyBorder="1" applyAlignment="1">
      <alignment horizontal="center" wrapText="1"/>
    </xf>
    <xf numFmtId="0" fontId="6" fillId="0" borderId="4" xfId="0" applyFont="1" applyBorder="1" applyAlignment="1">
      <alignment horizontal="center" wrapText="1"/>
    </xf>
    <xf numFmtId="4" fontId="5" fillId="0" borderId="4" xfId="0" applyNumberFormat="1" applyFont="1" applyBorder="1" applyAlignment="1">
      <alignment horizontal="center" vertical="center"/>
    </xf>
  </cellXfs>
  <cellStyles count="4">
    <cellStyle name="Moneda" xfId="1" builtinId="4"/>
    <cellStyle name="Normal" xfId="0" builtinId="0"/>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24">
          <cell r="K24">
            <v>49786549</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tabSelected="1" workbookViewId="0">
      <selection activeCell="D22" sqref="D22:E22"/>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647"/>
      <c r="B1" s="647"/>
      <c r="C1" s="647"/>
      <c r="D1" s="647"/>
      <c r="E1" s="647"/>
      <c r="F1" s="647"/>
      <c r="G1" s="647"/>
    </row>
    <row r="2" spans="1:18" ht="30" customHeight="1" x14ac:dyDescent="0.25">
      <c r="A2" s="648" t="s">
        <v>393</v>
      </c>
      <c r="B2" s="648"/>
      <c r="C2" s="648"/>
      <c r="D2" s="648"/>
      <c r="E2" s="648"/>
      <c r="F2" s="648"/>
      <c r="G2" s="648"/>
    </row>
    <row r="4" spans="1:18" ht="15.75" x14ac:dyDescent="0.25">
      <c r="A4" s="1"/>
      <c r="B4" s="1"/>
      <c r="C4" s="1"/>
      <c r="D4" s="1"/>
      <c r="E4" s="1"/>
    </row>
    <row r="5" spans="1:18" ht="30" customHeight="1" x14ac:dyDescent="0.25">
      <c r="A5" s="2"/>
      <c r="B5" s="641" t="s">
        <v>354</v>
      </c>
      <c r="C5" s="646" t="s">
        <v>324</v>
      </c>
      <c r="D5" s="646"/>
      <c r="E5" s="646" t="s">
        <v>197</v>
      </c>
      <c r="F5" s="646"/>
      <c r="N5" s="2"/>
      <c r="O5" s="3"/>
      <c r="P5" s="3"/>
      <c r="Q5" s="3"/>
      <c r="R5" s="3"/>
    </row>
    <row r="6" spans="1:18" ht="15.75" customHeight="1" x14ac:dyDescent="0.25">
      <c r="A6" s="4"/>
      <c r="B6" s="642"/>
      <c r="C6" s="646" t="s">
        <v>356</v>
      </c>
      <c r="D6" s="646"/>
      <c r="E6" s="646" t="s">
        <v>356</v>
      </c>
      <c r="F6" s="646"/>
      <c r="N6" s="2"/>
      <c r="O6" s="3"/>
      <c r="P6" s="3"/>
      <c r="Q6" s="3"/>
      <c r="R6" s="3"/>
    </row>
    <row r="7" spans="1:18" ht="15.75" x14ac:dyDescent="0.25">
      <c r="A7" s="4"/>
      <c r="B7" s="278" t="s">
        <v>357</v>
      </c>
      <c r="C7" s="278" t="s">
        <v>357</v>
      </c>
      <c r="D7" s="279" t="s">
        <v>245</v>
      </c>
      <c r="E7" s="280" t="s">
        <v>358</v>
      </c>
      <c r="F7" s="5" t="s">
        <v>6</v>
      </c>
      <c r="N7" s="4"/>
      <c r="O7" s="4"/>
      <c r="P7" s="7"/>
      <c r="Q7" s="4"/>
      <c r="R7" s="7"/>
    </row>
    <row r="8" spans="1:18" ht="15.75" x14ac:dyDescent="0.25">
      <c r="A8" s="4"/>
      <c r="B8" s="280" t="s">
        <v>358</v>
      </c>
      <c r="C8" s="280" t="s">
        <v>359</v>
      </c>
      <c r="D8" s="281" t="s">
        <v>8</v>
      </c>
      <c r="E8" s="280" t="s">
        <v>359</v>
      </c>
      <c r="F8" s="8" t="s">
        <v>9</v>
      </c>
      <c r="N8" s="4"/>
      <c r="O8" s="4"/>
      <c r="P8" s="7"/>
      <c r="Q8" s="4"/>
      <c r="R8" s="7"/>
    </row>
    <row r="9" spans="1:18" ht="15.75" x14ac:dyDescent="0.25">
      <c r="A9" s="4"/>
      <c r="B9" s="280" t="s">
        <v>359</v>
      </c>
      <c r="C9" s="280" t="s">
        <v>360</v>
      </c>
      <c r="D9" s="281" t="s">
        <v>3</v>
      </c>
      <c r="E9" s="280" t="s">
        <v>360</v>
      </c>
      <c r="F9" s="8" t="s">
        <v>11</v>
      </c>
      <c r="N9" s="4"/>
      <c r="O9" s="4"/>
      <c r="P9" s="7"/>
      <c r="Q9" s="4"/>
      <c r="R9" s="7"/>
    </row>
    <row r="10" spans="1:18" ht="15.75" x14ac:dyDescent="0.25">
      <c r="A10" s="4"/>
      <c r="B10" s="280" t="s">
        <v>360</v>
      </c>
      <c r="C10" s="280" t="s">
        <v>361</v>
      </c>
      <c r="D10" s="281" t="s">
        <v>14</v>
      </c>
      <c r="E10" s="280" t="s">
        <v>361</v>
      </c>
      <c r="F10" s="432" t="s">
        <v>6</v>
      </c>
      <c r="N10" s="4"/>
      <c r="O10" s="4"/>
      <c r="P10" s="7"/>
      <c r="Q10" s="4"/>
      <c r="R10" s="7"/>
    </row>
    <row r="11" spans="1:18" ht="15.75" x14ac:dyDescent="0.25">
      <c r="A11" s="4"/>
      <c r="B11" s="280" t="s">
        <v>361</v>
      </c>
      <c r="C11" s="280" t="s">
        <v>361</v>
      </c>
      <c r="D11" s="281" t="s">
        <v>245</v>
      </c>
      <c r="E11" s="280" t="s">
        <v>362</v>
      </c>
      <c r="F11" s="282" t="s">
        <v>9</v>
      </c>
      <c r="N11" s="4"/>
      <c r="O11" s="4"/>
      <c r="P11" s="7"/>
      <c r="Q11" s="4"/>
      <c r="R11" s="7"/>
    </row>
    <row r="12" spans="1:18" ht="15.75" x14ac:dyDescent="0.25">
      <c r="A12" s="4"/>
      <c r="B12" s="280" t="s">
        <v>362</v>
      </c>
      <c r="C12" s="280" t="s">
        <v>363</v>
      </c>
      <c r="D12" s="281" t="s">
        <v>3</v>
      </c>
      <c r="E12" s="280" t="s">
        <v>363</v>
      </c>
      <c r="F12" s="432" t="s">
        <v>5</v>
      </c>
      <c r="N12" s="4"/>
      <c r="O12" s="4"/>
      <c r="P12" s="7"/>
      <c r="Q12" s="4"/>
      <c r="R12" s="7"/>
    </row>
    <row r="13" spans="1:18" ht="15.75" x14ac:dyDescent="0.25">
      <c r="A13" s="4"/>
      <c r="B13" s="280" t="s">
        <v>363</v>
      </c>
      <c r="C13" s="280" t="s">
        <v>363</v>
      </c>
      <c r="D13" s="281" t="s">
        <v>245</v>
      </c>
      <c r="E13" s="280" t="s">
        <v>364</v>
      </c>
      <c r="F13" s="8" t="s">
        <v>9</v>
      </c>
      <c r="N13" s="4"/>
      <c r="O13" s="4"/>
      <c r="P13" s="7"/>
      <c r="Q13" s="4"/>
      <c r="R13" s="7"/>
    </row>
    <row r="14" spans="1:18" ht="15.75" x14ac:dyDescent="0.25">
      <c r="A14" s="4"/>
      <c r="B14" s="280" t="s">
        <v>364</v>
      </c>
      <c r="C14" s="280" t="s">
        <v>365</v>
      </c>
      <c r="D14" s="281" t="s">
        <v>14</v>
      </c>
      <c r="E14" s="280" t="s">
        <v>365</v>
      </c>
      <c r="F14" s="8" t="s">
        <v>9</v>
      </c>
      <c r="N14" s="4"/>
      <c r="O14" s="4"/>
      <c r="P14" s="7"/>
      <c r="Q14" s="4"/>
      <c r="R14" s="7"/>
    </row>
    <row r="15" spans="1:18" ht="15.75" x14ac:dyDescent="0.25">
      <c r="A15" s="4"/>
      <c r="B15" s="280" t="s">
        <v>365</v>
      </c>
      <c r="C15" s="280" t="s">
        <v>369</v>
      </c>
      <c r="D15" s="281" t="s">
        <v>14</v>
      </c>
      <c r="E15" s="280" t="s">
        <v>366</v>
      </c>
      <c r="F15" s="8" t="s">
        <v>8</v>
      </c>
      <c r="N15" s="4"/>
      <c r="O15" s="4"/>
      <c r="P15" s="7"/>
      <c r="Q15" s="4"/>
      <c r="R15" s="7"/>
    </row>
    <row r="16" spans="1:18" ht="15.75" x14ac:dyDescent="0.25">
      <c r="A16" s="4"/>
      <c r="B16" s="280" t="s">
        <v>366</v>
      </c>
      <c r="C16" s="280" t="s">
        <v>369</v>
      </c>
      <c r="D16" s="281" t="s">
        <v>245</v>
      </c>
      <c r="E16" s="280" t="s">
        <v>367</v>
      </c>
      <c r="F16" s="8" t="s">
        <v>9</v>
      </c>
      <c r="N16" s="4"/>
      <c r="O16" s="4"/>
      <c r="P16" s="7"/>
      <c r="Q16" s="4"/>
      <c r="R16" s="7"/>
    </row>
    <row r="17" spans="1:18" ht="15.75" x14ac:dyDescent="0.25">
      <c r="A17" s="4"/>
      <c r="B17" s="280" t="s">
        <v>367</v>
      </c>
      <c r="C17" s="280" t="s">
        <v>368</v>
      </c>
      <c r="D17" s="281" t="s">
        <v>14</v>
      </c>
      <c r="E17" s="280" t="s">
        <v>368</v>
      </c>
      <c r="F17" s="8" t="s">
        <v>9</v>
      </c>
      <c r="N17" s="4"/>
      <c r="O17" s="4"/>
      <c r="P17" s="7"/>
      <c r="Q17" s="4"/>
      <c r="R17" s="7"/>
    </row>
    <row r="18" spans="1:18" ht="15.75" x14ac:dyDescent="0.25">
      <c r="B18" s="283" t="s">
        <v>368</v>
      </c>
      <c r="C18" s="433" t="s">
        <v>371</v>
      </c>
      <c r="D18" s="284" t="s">
        <v>14</v>
      </c>
      <c r="E18" s="283" t="s">
        <v>368</v>
      </c>
      <c r="F18" s="9" t="s">
        <v>245</v>
      </c>
      <c r="N18" s="4"/>
      <c r="O18" s="10"/>
      <c r="P18" s="7"/>
      <c r="Q18" s="10"/>
      <c r="R18" s="7"/>
    </row>
    <row r="19" spans="1:18" ht="15.75" x14ac:dyDescent="0.25">
      <c r="B19" s="4"/>
      <c r="C19" s="10"/>
      <c r="D19" s="7"/>
      <c r="E19" s="10"/>
      <c r="F19" s="7"/>
      <c r="N19" s="4"/>
      <c r="O19" s="10"/>
      <c r="P19" s="7"/>
      <c r="Q19" s="10"/>
      <c r="R19" s="7"/>
    </row>
    <row r="21" spans="1:18" ht="49.5" customHeight="1" x14ac:dyDescent="0.25">
      <c r="A21" s="641" t="s">
        <v>354</v>
      </c>
      <c r="B21" s="646" t="s">
        <v>328</v>
      </c>
      <c r="C21" s="646"/>
      <c r="D21" s="646" t="s">
        <v>399</v>
      </c>
      <c r="E21" s="646"/>
      <c r="F21" s="646" t="s">
        <v>207</v>
      </c>
      <c r="G21" s="646"/>
    </row>
    <row r="22" spans="1:18" ht="15.75" customHeight="1" x14ac:dyDescent="0.25">
      <c r="A22" s="642"/>
      <c r="B22" s="646" t="s">
        <v>356</v>
      </c>
      <c r="C22" s="646"/>
      <c r="D22" s="646" t="s">
        <v>356</v>
      </c>
      <c r="E22" s="646"/>
      <c r="F22" s="646" t="s">
        <v>356</v>
      </c>
      <c r="G22" s="646"/>
    </row>
    <row r="23" spans="1:18" ht="15.75" x14ac:dyDescent="0.25">
      <c r="A23" s="278" t="s">
        <v>357</v>
      </c>
      <c r="B23" s="280" t="s">
        <v>358</v>
      </c>
      <c r="C23" s="5" t="s">
        <v>6</v>
      </c>
      <c r="D23" s="278" t="s">
        <v>357</v>
      </c>
      <c r="E23" s="5" t="s">
        <v>246</v>
      </c>
      <c r="F23" s="278" t="s">
        <v>357</v>
      </c>
      <c r="G23" s="279" t="s">
        <v>245</v>
      </c>
    </row>
    <row r="24" spans="1:18" ht="15.75" x14ac:dyDescent="0.25">
      <c r="A24" s="280" t="s">
        <v>358</v>
      </c>
      <c r="B24" s="280" t="s">
        <v>359</v>
      </c>
      <c r="C24" s="8" t="s">
        <v>9</v>
      </c>
      <c r="D24" s="280" t="s">
        <v>358</v>
      </c>
      <c r="E24" s="8" t="s">
        <v>246</v>
      </c>
      <c r="F24" s="280" t="s">
        <v>359</v>
      </c>
      <c r="G24" s="281" t="s">
        <v>8</v>
      </c>
    </row>
    <row r="25" spans="1:18" ht="15.75" x14ac:dyDescent="0.25">
      <c r="A25" s="280" t="s">
        <v>359</v>
      </c>
      <c r="B25" s="280" t="s">
        <v>360</v>
      </c>
      <c r="C25" s="8" t="s">
        <v>11</v>
      </c>
      <c r="D25" s="280" t="s">
        <v>359</v>
      </c>
      <c r="E25" s="8" t="s">
        <v>246</v>
      </c>
      <c r="F25" s="280" t="s">
        <v>360</v>
      </c>
      <c r="G25" s="281" t="s">
        <v>3</v>
      </c>
    </row>
    <row r="26" spans="1:18" ht="15.75" x14ac:dyDescent="0.25">
      <c r="A26" s="280" t="s">
        <v>360</v>
      </c>
      <c r="B26" s="280" t="s">
        <v>361</v>
      </c>
      <c r="C26" s="8" t="s">
        <v>6</v>
      </c>
      <c r="D26" s="280" t="s">
        <v>360</v>
      </c>
      <c r="E26" s="8" t="s">
        <v>247</v>
      </c>
      <c r="F26" s="280" t="s">
        <v>361</v>
      </c>
      <c r="G26" s="281" t="s">
        <v>14</v>
      </c>
    </row>
    <row r="27" spans="1:18" ht="15.75" x14ac:dyDescent="0.25">
      <c r="A27" s="280" t="s">
        <v>361</v>
      </c>
      <c r="B27" s="280" t="s">
        <v>361</v>
      </c>
      <c r="C27" s="8" t="s">
        <v>6</v>
      </c>
      <c r="D27" s="280" t="s">
        <v>361</v>
      </c>
      <c r="E27" s="8" t="s">
        <v>247</v>
      </c>
      <c r="F27" s="280" t="s">
        <v>361</v>
      </c>
      <c r="G27" s="281" t="s">
        <v>245</v>
      </c>
    </row>
    <row r="28" spans="1:18" ht="15.75" x14ac:dyDescent="0.25">
      <c r="A28" s="280" t="s">
        <v>362</v>
      </c>
      <c r="B28" s="280" t="s">
        <v>363</v>
      </c>
      <c r="C28" s="8" t="s">
        <v>5</v>
      </c>
      <c r="D28" s="280" t="s">
        <v>362</v>
      </c>
      <c r="E28" s="8" t="s">
        <v>20</v>
      </c>
      <c r="F28" s="280" t="s">
        <v>363</v>
      </c>
      <c r="G28" s="281" t="s">
        <v>3</v>
      </c>
    </row>
    <row r="29" spans="1:18" ht="15.75" x14ac:dyDescent="0.25">
      <c r="A29" s="280" t="s">
        <v>363</v>
      </c>
      <c r="B29" s="280" t="s">
        <v>364</v>
      </c>
      <c r="C29" s="8" t="s">
        <v>9</v>
      </c>
      <c r="D29" s="280" t="s">
        <v>363</v>
      </c>
      <c r="E29" s="8" t="s">
        <v>247</v>
      </c>
      <c r="F29" s="280" t="s">
        <v>363</v>
      </c>
      <c r="G29" s="281" t="s">
        <v>245</v>
      </c>
    </row>
    <row r="30" spans="1:18" ht="15.75" x14ac:dyDescent="0.25">
      <c r="A30" s="280" t="s">
        <v>364</v>
      </c>
      <c r="B30" s="280" t="s">
        <v>365</v>
      </c>
      <c r="C30" s="8" t="s">
        <v>9</v>
      </c>
      <c r="D30" s="280" t="s">
        <v>364</v>
      </c>
      <c r="E30" s="8" t="s">
        <v>247</v>
      </c>
      <c r="F30" s="280" t="s">
        <v>365</v>
      </c>
      <c r="G30" s="281" t="s">
        <v>14</v>
      </c>
    </row>
    <row r="31" spans="1:18" ht="15.75" x14ac:dyDescent="0.25">
      <c r="A31" s="280" t="s">
        <v>365</v>
      </c>
      <c r="B31" s="280" t="s">
        <v>366</v>
      </c>
      <c r="C31" s="8" t="s">
        <v>8</v>
      </c>
      <c r="D31" s="280" t="s">
        <v>365</v>
      </c>
      <c r="E31" s="8" t="s">
        <v>20</v>
      </c>
      <c r="F31" s="280" t="s">
        <v>369</v>
      </c>
      <c r="G31" s="281" t="s">
        <v>14</v>
      </c>
    </row>
    <row r="32" spans="1:18" ht="15.75" x14ac:dyDescent="0.25">
      <c r="A32" s="280" t="s">
        <v>366</v>
      </c>
      <c r="B32" s="280" t="s">
        <v>367</v>
      </c>
      <c r="C32" s="8" t="s">
        <v>9</v>
      </c>
      <c r="D32" s="280" t="s">
        <v>366</v>
      </c>
      <c r="E32" s="8" t="s">
        <v>247</v>
      </c>
      <c r="F32" s="280" t="s">
        <v>369</v>
      </c>
      <c r="G32" s="281" t="s">
        <v>245</v>
      </c>
    </row>
    <row r="33" spans="1:7" ht="15.75" x14ac:dyDescent="0.25">
      <c r="A33" s="280" t="s">
        <v>367</v>
      </c>
      <c r="B33" s="280" t="s">
        <v>368</v>
      </c>
      <c r="C33" s="8" t="s">
        <v>9</v>
      </c>
      <c r="D33" s="280" t="s">
        <v>367</v>
      </c>
      <c r="E33" s="8" t="s">
        <v>246</v>
      </c>
      <c r="F33" s="280" t="s">
        <v>368</v>
      </c>
      <c r="G33" s="281" t="s">
        <v>14</v>
      </c>
    </row>
    <row r="34" spans="1:7" ht="15.75" x14ac:dyDescent="0.25">
      <c r="A34" s="283" t="s">
        <v>368</v>
      </c>
      <c r="B34" s="283" t="s">
        <v>368</v>
      </c>
      <c r="C34" s="9" t="s">
        <v>245</v>
      </c>
      <c r="D34" s="283" t="s">
        <v>368</v>
      </c>
      <c r="E34" s="9" t="s">
        <v>20</v>
      </c>
      <c r="F34" s="433" t="s">
        <v>371</v>
      </c>
      <c r="G34" s="284" t="s">
        <v>14</v>
      </c>
    </row>
    <row r="37" spans="1:7" ht="49.5" customHeight="1" x14ac:dyDescent="0.25">
      <c r="A37" s="641" t="s">
        <v>354</v>
      </c>
      <c r="B37" s="643" t="s">
        <v>394</v>
      </c>
      <c r="C37" s="644"/>
      <c r="D37" s="644"/>
      <c r="E37" s="643" t="s">
        <v>355</v>
      </c>
      <c r="F37" s="644"/>
      <c r="G37" s="645"/>
    </row>
    <row r="38" spans="1:7" ht="15" customHeight="1" x14ac:dyDescent="0.25">
      <c r="A38" s="642"/>
      <c r="B38" s="643" t="s">
        <v>356</v>
      </c>
      <c r="C38" s="644"/>
      <c r="D38" s="645"/>
      <c r="E38" s="643" t="s">
        <v>356</v>
      </c>
      <c r="F38" s="644"/>
      <c r="G38" s="645"/>
    </row>
    <row r="39" spans="1:7" ht="15.75" x14ac:dyDescent="0.25">
      <c r="A39" s="278" t="s">
        <v>357</v>
      </c>
      <c r="B39" s="637" t="s">
        <v>370</v>
      </c>
      <c r="C39" s="638"/>
      <c r="D39" s="279" t="s">
        <v>245</v>
      </c>
      <c r="E39" s="637" t="s">
        <v>370</v>
      </c>
      <c r="F39" s="638"/>
      <c r="G39" s="285" t="s">
        <v>247</v>
      </c>
    </row>
    <row r="40" spans="1:7" ht="15.75" x14ac:dyDescent="0.25">
      <c r="A40" s="280" t="s">
        <v>358</v>
      </c>
      <c r="B40" s="633" t="s">
        <v>359</v>
      </c>
      <c r="C40" s="634"/>
      <c r="D40" s="281" t="s">
        <v>8</v>
      </c>
      <c r="E40" s="633" t="s">
        <v>358</v>
      </c>
      <c r="F40" s="634"/>
      <c r="G40" s="432" t="s">
        <v>246</v>
      </c>
    </row>
    <row r="41" spans="1:7" ht="15.75" x14ac:dyDescent="0.25">
      <c r="A41" s="280" t="s">
        <v>359</v>
      </c>
      <c r="B41" s="633" t="s">
        <v>360</v>
      </c>
      <c r="C41" s="634"/>
      <c r="D41" s="281" t="s">
        <v>3</v>
      </c>
      <c r="E41" s="633" t="s">
        <v>359</v>
      </c>
      <c r="F41" s="634"/>
      <c r="G41" s="432" t="s">
        <v>247</v>
      </c>
    </row>
    <row r="42" spans="1:7" ht="15.75" x14ac:dyDescent="0.25">
      <c r="A42" s="280" t="s">
        <v>360</v>
      </c>
      <c r="B42" s="633" t="s">
        <v>361</v>
      </c>
      <c r="C42" s="634"/>
      <c r="D42" s="281" t="s">
        <v>14</v>
      </c>
      <c r="E42" s="633" t="s">
        <v>360</v>
      </c>
      <c r="F42" s="634"/>
      <c r="G42" s="432" t="s">
        <v>247</v>
      </c>
    </row>
    <row r="43" spans="1:7" ht="15.75" x14ac:dyDescent="0.25">
      <c r="A43" s="280" t="s">
        <v>361</v>
      </c>
      <c r="B43" s="633" t="s">
        <v>361</v>
      </c>
      <c r="C43" s="634"/>
      <c r="D43" s="281" t="s">
        <v>245</v>
      </c>
      <c r="E43" s="633" t="s">
        <v>361</v>
      </c>
      <c r="F43" s="634"/>
      <c r="G43" s="432" t="s">
        <v>247</v>
      </c>
    </row>
    <row r="44" spans="1:7" ht="15.75" x14ac:dyDescent="0.25">
      <c r="A44" s="280" t="s">
        <v>362</v>
      </c>
      <c r="B44" s="633" t="s">
        <v>363</v>
      </c>
      <c r="C44" s="634"/>
      <c r="D44" s="281" t="s">
        <v>3</v>
      </c>
      <c r="E44" s="633" t="s">
        <v>362</v>
      </c>
      <c r="F44" s="634"/>
      <c r="G44" s="432" t="s">
        <v>248</v>
      </c>
    </row>
    <row r="45" spans="1:7" ht="15.75" x14ac:dyDescent="0.25">
      <c r="A45" s="280" t="s">
        <v>363</v>
      </c>
      <c r="B45" s="633" t="s">
        <v>363</v>
      </c>
      <c r="C45" s="634"/>
      <c r="D45" s="281" t="s">
        <v>245</v>
      </c>
      <c r="E45" s="633" t="s">
        <v>363</v>
      </c>
      <c r="F45" s="634"/>
      <c r="G45" s="432" t="s">
        <v>247</v>
      </c>
    </row>
    <row r="46" spans="1:7" ht="15.75" x14ac:dyDescent="0.25">
      <c r="A46" s="280" t="s">
        <v>364</v>
      </c>
      <c r="B46" s="633" t="s">
        <v>365</v>
      </c>
      <c r="C46" s="634"/>
      <c r="D46" s="281" t="s">
        <v>14</v>
      </c>
      <c r="E46" s="633" t="s">
        <v>364</v>
      </c>
      <c r="F46" s="634"/>
      <c r="G46" s="432" t="s">
        <v>247</v>
      </c>
    </row>
    <row r="47" spans="1:7" ht="15.75" x14ac:dyDescent="0.25">
      <c r="A47" s="280" t="s">
        <v>365</v>
      </c>
      <c r="B47" s="633" t="s">
        <v>366</v>
      </c>
      <c r="C47" s="634"/>
      <c r="D47" s="281" t="s">
        <v>14</v>
      </c>
      <c r="E47" s="633" t="s">
        <v>365</v>
      </c>
      <c r="F47" s="634"/>
      <c r="G47" s="432" t="s">
        <v>20</v>
      </c>
    </row>
    <row r="48" spans="1:7" ht="15.75" x14ac:dyDescent="0.25">
      <c r="A48" s="280" t="s">
        <v>366</v>
      </c>
      <c r="B48" s="633" t="s">
        <v>366</v>
      </c>
      <c r="C48" s="634"/>
      <c r="D48" s="281" t="s">
        <v>245</v>
      </c>
      <c r="E48" s="633" t="s">
        <v>366</v>
      </c>
      <c r="F48" s="634"/>
      <c r="G48" s="432" t="s">
        <v>247</v>
      </c>
    </row>
    <row r="49" spans="1:7" ht="15.75" x14ac:dyDescent="0.25">
      <c r="A49" s="280" t="s">
        <v>367</v>
      </c>
      <c r="B49" s="633" t="s">
        <v>368</v>
      </c>
      <c r="C49" s="634"/>
      <c r="D49" s="281" t="s">
        <v>14</v>
      </c>
      <c r="E49" s="633" t="s">
        <v>367</v>
      </c>
      <c r="F49" s="634"/>
      <c r="G49" s="432" t="s">
        <v>246</v>
      </c>
    </row>
    <row r="50" spans="1:7" ht="15.75" x14ac:dyDescent="0.25">
      <c r="A50" s="283" t="s">
        <v>368</v>
      </c>
      <c r="B50" s="635" t="s">
        <v>371</v>
      </c>
      <c r="C50" s="636"/>
      <c r="D50" s="286" t="s">
        <v>14</v>
      </c>
      <c r="E50" s="639" t="s">
        <v>368</v>
      </c>
      <c r="F50" s="640"/>
      <c r="G50" s="286" t="s">
        <v>20</v>
      </c>
    </row>
  </sheetData>
  <mergeCells count="43">
    <mergeCell ref="A1:G1"/>
    <mergeCell ref="A2:G2"/>
    <mergeCell ref="B5:B6"/>
    <mergeCell ref="C5:D5"/>
    <mergeCell ref="E5:F5"/>
    <mergeCell ref="C6:D6"/>
    <mergeCell ref="E6:F6"/>
    <mergeCell ref="A21:A22"/>
    <mergeCell ref="B21:C21"/>
    <mergeCell ref="D21:E21"/>
    <mergeCell ref="F21:G21"/>
    <mergeCell ref="B22:C22"/>
    <mergeCell ref="D22:E22"/>
    <mergeCell ref="F22:G22"/>
    <mergeCell ref="A37:A38"/>
    <mergeCell ref="B37:D37"/>
    <mergeCell ref="E37:G37"/>
    <mergeCell ref="E38:G38"/>
    <mergeCell ref="B38:D38"/>
    <mergeCell ref="B46:C46"/>
    <mergeCell ref="B47:C47"/>
    <mergeCell ref="B48:C48"/>
    <mergeCell ref="B39:C39"/>
    <mergeCell ref="B40:C40"/>
    <mergeCell ref="B41:C41"/>
    <mergeCell ref="B42:C42"/>
    <mergeCell ref="B43:C43"/>
    <mergeCell ref="B49:C49"/>
    <mergeCell ref="B50:C50"/>
    <mergeCell ref="E39:F39"/>
    <mergeCell ref="E40:F40"/>
    <mergeCell ref="E41:F41"/>
    <mergeCell ref="E42:F42"/>
    <mergeCell ref="E43:F43"/>
    <mergeCell ref="E44:F44"/>
    <mergeCell ref="E45:F45"/>
    <mergeCell ref="E46:F46"/>
    <mergeCell ref="E47:F47"/>
    <mergeCell ref="E48:F48"/>
    <mergeCell ref="E49:F49"/>
    <mergeCell ref="E50:F50"/>
    <mergeCell ref="B44:C44"/>
    <mergeCell ref="B45:C45"/>
  </mergeCells>
  <pageMargins left="0.5" right="0.48" top="0.21" bottom="0.14000000000000001" header="0.26" footer="0.31496062992125984"/>
  <pageSetup scale="86" orientation="portrait" r:id="rId1"/>
  <ignoredErrors>
    <ignoredError sqref="D7:D17 F7:F17 C23:C33 E23:E33 G23:G34 G39:G40 D39:D49 G44:G49 G41:G4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E17" sqref="E17"/>
    </sheetView>
  </sheetViews>
  <sheetFormatPr baseColWidth="10" defaultRowHeight="15" x14ac:dyDescent="0.25"/>
  <cols>
    <col min="1" max="1" width="22.85546875" bestFit="1" customWidth="1"/>
    <col min="2" max="7" width="17" bestFit="1" customWidth="1"/>
  </cols>
  <sheetData>
    <row r="1" spans="1:8" x14ac:dyDescent="0.25">
      <c r="A1" s="700"/>
      <c r="B1" s="700"/>
      <c r="C1" s="700"/>
      <c r="D1" s="700"/>
      <c r="E1" s="700"/>
      <c r="F1" s="700"/>
      <c r="G1" s="700"/>
    </row>
    <row r="2" spans="1:8" x14ac:dyDescent="0.25">
      <c r="A2" s="107"/>
      <c r="B2" s="107"/>
      <c r="C2" s="107"/>
      <c r="D2" s="107"/>
      <c r="E2" s="107"/>
      <c r="F2" s="107"/>
      <c r="G2" s="107"/>
    </row>
    <row r="3" spans="1:8" x14ac:dyDescent="0.25">
      <c r="A3" s="700" t="s">
        <v>320</v>
      </c>
      <c r="B3" s="700"/>
      <c r="C3" s="700"/>
      <c r="D3" s="700"/>
      <c r="E3" s="700"/>
      <c r="F3" s="700"/>
      <c r="G3" s="700"/>
    </row>
    <row r="4" spans="1:8" x14ac:dyDescent="0.25">
      <c r="A4" s="107"/>
      <c r="B4" s="107"/>
      <c r="C4" s="107"/>
      <c r="D4" s="107"/>
      <c r="E4" s="107"/>
      <c r="F4" s="107"/>
      <c r="G4" s="107"/>
    </row>
    <row r="5" spans="1:8" x14ac:dyDescent="0.25">
      <c r="A5" s="700" t="s">
        <v>321</v>
      </c>
      <c r="B5" s="700"/>
      <c r="C5" s="700"/>
      <c r="D5" s="700"/>
      <c r="E5" s="700"/>
      <c r="F5" s="700"/>
      <c r="G5" s="700"/>
    </row>
    <row r="6" spans="1:8" ht="15.75" thickBot="1" x14ac:dyDescent="0.3"/>
    <row r="7" spans="1:8" x14ac:dyDescent="0.25">
      <c r="A7" s="791" t="s">
        <v>283</v>
      </c>
      <c r="B7" s="793">
        <v>2016</v>
      </c>
      <c r="C7" s="794"/>
      <c r="D7" s="795"/>
      <c r="E7" s="793">
        <v>2017</v>
      </c>
      <c r="F7" s="794"/>
      <c r="G7" s="796"/>
      <c r="H7" s="220"/>
    </row>
    <row r="8" spans="1:8" ht="15.75" thickBot="1" x14ac:dyDescent="0.3">
      <c r="A8" s="792"/>
      <c r="B8" s="199" t="s">
        <v>312</v>
      </c>
      <c r="C8" s="195" t="s">
        <v>322</v>
      </c>
      <c r="D8" s="195" t="s">
        <v>92</v>
      </c>
      <c r="E8" s="199" t="s">
        <v>312</v>
      </c>
      <c r="F8" s="195" t="s">
        <v>322</v>
      </c>
      <c r="G8" s="513" t="s">
        <v>92</v>
      </c>
      <c r="H8" s="151"/>
    </row>
    <row r="9" spans="1:8" x14ac:dyDescent="0.25">
      <c r="A9" s="503" t="s">
        <v>156</v>
      </c>
      <c r="B9" s="504">
        <v>2477398</v>
      </c>
      <c r="C9" s="505">
        <v>7110081</v>
      </c>
      <c r="D9" s="506">
        <f t="shared" ref="D9:D28" si="0">B9+C9</f>
        <v>9587479</v>
      </c>
      <c r="E9" s="507">
        <v>4600138</v>
      </c>
      <c r="F9" s="505">
        <v>6164575</v>
      </c>
      <c r="G9" s="506">
        <f t="shared" ref="G9:G28" si="1">E9+F9</f>
        <v>10764713</v>
      </c>
    </row>
    <row r="10" spans="1:8" x14ac:dyDescent="0.25">
      <c r="A10" s="508" t="s">
        <v>157</v>
      </c>
      <c r="B10" s="509">
        <v>2240417</v>
      </c>
      <c r="C10" s="175">
        <v>1913057</v>
      </c>
      <c r="D10" s="510">
        <f t="shared" si="0"/>
        <v>4153474</v>
      </c>
      <c r="E10" s="511">
        <v>1868560</v>
      </c>
      <c r="F10" s="175">
        <v>4098808</v>
      </c>
      <c r="G10" s="510">
        <f t="shared" si="1"/>
        <v>5967368</v>
      </c>
    </row>
    <row r="11" spans="1:8" x14ac:dyDescent="0.25">
      <c r="A11" s="508" t="s">
        <v>158</v>
      </c>
      <c r="B11" s="509">
        <v>2030546</v>
      </c>
      <c r="C11" s="175">
        <v>1753984</v>
      </c>
      <c r="D11" s="510">
        <f t="shared" si="0"/>
        <v>3784530</v>
      </c>
      <c r="E11" s="511">
        <v>272482</v>
      </c>
      <c r="F11" s="175">
        <v>801471</v>
      </c>
      <c r="G11" s="510">
        <f t="shared" si="1"/>
        <v>1073953</v>
      </c>
    </row>
    <row r="12" spans="1:8" x14ac:dyDescent="0.25">
      <c r="A12" s="508" t="s">
        <v>159</v>
      </c>
      <c r="B12" s="509">
        <v>124077659</v>
      </c>
      <c r="C12" s="175">
        <v>90316627</v>
      </c>
      <c r="D12" s="510">
        <f t="shared" si="0"/>
        <v>214394286</v>
      </c>
      <c r="E12" s="511">
        <v>154339475</v>
      </c>
      <c r="F12" s="175">
        <v>114466230</v>
      </c>
      <c r="G12" s="510">
        <f t="shared" si="1"/>
        <v>268805705</v>
      </c>
    </row>
    <row r="13" spans="1:8" x14ac:dyDescent="0.25">
      <c r="A13" s="508" t="s">
        <v>160</v>
      </c>
      <c r="B13" s="509">
        <v>13793249</v>
      </c>
      <c r="C13" s="175">
        <v>9341142</v>
      </c>
      <c r="D13" s="510">
        <f t="shared" si="0"/>
        <v>23134391</v>
      </c>
      <c r="E13" s="511">
        <v>15872814</v>
      </c>
      <c r="F13" s="175">
        <v>9610927</v>
      </c>
      <c r="G13" s="510">
        <f t="shared" si="1"/>
        <v>25483741</v>
      </c>
    </row>
    <row r="14" spans="1:8" x14ac:dyDescent="0.25">
      <c r="A14" s="508" t="s">
        <v>161</v>
      </c>
      <c r="B14" s="509">
        <v>24800</v>
      </c>
      <c r="C14" s="175">
        <v>262835</v>
      </c>
      <c r="D14" s="510">
        <f t="shared" si="0"/>
        <v>287635</v>
      </c>
      <c r="E14" s="511">
        <v>23315</v>
      </c>
      <c r="F14" s="175">
        <v>123172</v>
      </c>
      <c r="G14" s="510">
        <f t="shared" si="1"/>
        <v>146487</v>
      </c>
    </row>
    <row r="15" spans="1:8" x14ac:dyDescent="0.25">
      <c r="A15" s="508" t="s">
        <v>162</v>
      </c>
      <c r="B15" s="509">
        <v>13729</v>
      </c>
      <c r="C15" s="175">
        <v>48772</v>
      </c>
      <c r="D15" s="510">
        <f t="shared" si="0"/>
        <v>62501</v>
      </c>
      <c r="E15" s="511">
        <v>10148</v>
      </c>
      <c r="F15" s="175">
        <v>27360</v>
      </c>
      <c r="G15" s="510">
        <f t="shared" si="1"/>
        <v>37508</v>
      </c>
    </row>
    <row r="16" spans="1:8" x14ac:dyDescent="0.25">
      <c r="A16" s="508" t="s">
        <v>163</v>
      </c>
      <c r="B16" s="509">
        <v>9586556</v>
      </c>
      <c r="C16" s="175">
        <v>4804367</v>
      </c>
      <c r="D16" s="510">
        <f t="shared" si="0"/>
        <v>14390923</v>
      </c>
      <c r="E16" s="511">
        <v>9995787</v>
      </c>
      <c r="F16" s="175">
        <v>2921966</v>
      </c>
      <c r="G16" s="510">
        <f t="shared" si="1"/>
        <v>12917753</v>
      </c>
    </row>
    <row r="17" spans="1:8" x14ac:dyDescent="0.25">
      <c r="A17" s="508" t="s">
        <v>164</v>
      </c>
      <c r="B17" s="509">
        <v>1708915</v>
      </c>
      <c r="C17" s="175">
        <v>2497404</v>
      </c>
      <c r="D17" s="510">
        <f t="shared" si="0"/>
        <v>4206319</v>
      </c>
      <c r="E17" s="511">
        <v>1515005</v>
      </c>
      <c r="F17" s="175">
        <v>1085491</v>
      </c>
      <c r="G17" s="510">
        <f t="shared" si="1"/>
        <v>2600496</v>
      </c>
    </row>
    <row r="18" spans="1:8" x14ac:dyDescent="0.25">
      <c r="A18" s="508" t="s">
        <v>165</v>
      </c>
      <c r="B18" s="509">
        <v>419998</v>
      </c>
      <c r="C18" s="175">
        <v>199300</v>
      </c>
      <c r="D18" s="510">
        <f t="shared" si="0"/>
        <v>619298</v>
      </c>
      <c r="E18" s="511">
        <v>2011785</v>
      </c>
      <c r="F18" s="175">
        <v>188489</v>
      </c>
      <c r="G18" s="510">
        <f t="shared" si="1"/>
        <v>2200274</v>
      </c>
    </row>
    <row r="19" spans="1:8" x14ac:dyDescent="0.25">
      <c r="A19" s="508" t="s">
        <v>166</v>
      </c>
      <c r="B19" s="509">
        <v>1144848</v>
      </c>
      <c r="C19" s="175">
        <v>674614</v>
      </c>
      <c r="D19" s="510">
        <f t="shared" si="0"/>
        <v>1819462</v>
      </c>
      <c r="E19" s="511">
        <v>1207189</v>
      </c>
      <c r="F19" s="175">
        <v>552064</v>
      </c>
      <c r="G19" s="510">
        <f t="shared" si="1"/>
        <v>1759253</v>
      </c>
    </row>
    <row r="20" spans="1:8" x14ac:dyDescent="0.25">
      <c r="A20" s="508" t="s">
        <v>167</v>
      </c>
      <c r="B20" s="509">
        <v>401966</v>
      </c>
      <c r="C20" s="175">
        <v>1491792</v>
      </c>
      <c r="D20" s="510">
        <f t="shared" si="0"/>
        <v>1893758</v>
      </c>
      <c r="E20" s="511">
        <v>443946</v>
      </c>
      <c r="F20" s="175">
        <v>2361354</v>
      </c>
      <c r="G20" s="510">
        <f t="shared" si="1"/>
        <v>2805300</v>
      </c>
    </row>
    <row r="21" spans="1:8" x14ac:dyDescent="0.25">
      <c r="A21" s="508" t="s">
        <v>168</v>
      </c>
      <c r="B21" s="509">
        <v>2492004</v>
      </c>
      <c r="C21" s="175">
        <v>1508514</v>
      </c>
      <c r="D21" s="510">
        <f t="shared" si="0"/>
        <v>4000518</v>
      </c>
      <c r="E21" s="511">
        <v>4722861</v>
      </c>
      <c r="F21" s="175">
        <v>1595892</v>
      </c>
      <c r="G21" s="510">
        <f t="shared" si="1"/>
        <v>6318753</v>
      </c>
    </row>
    <row r="22" spans="1:8" x14ac:dyDescent="0.25">
      <c r="A22" s="508" t="s">
        <v>169</v>
      </c>
      <c r="B22" s="509">
        <v>779421</v>
      </c>
      <c r="C22" s="175">
        <v>439921</v>
      </c>
      <c r="D22" s="510">
        <f t="shared" si="0"/>
        <v>1219342</v>
      </c>
      <c r="E22" s="511">
        <v>878681</v>
      </c>
      <c r="F22" s="175">
        <v>1097834</v>
      </c>
      <c r="G22" s="510">
        <f t="shared" si="1"/>
        <v>1976515</v>
      </c>
    </row>
    <row r="23" spans="1:8" x14ac:dyDescent="0.25">
      <c r="A23" s="508" t="s">
        <v>170</v>
      </c>
      <c r="B23" s="509">
        <v>1947699</v>
      </c>
      <c r="C23" s="175">
        <v>2366954</v>
      </c>
      <c r="D23" s="510">
        <f t="shared" si="0"/>
        <v>4314653</v>
      </c>
      <c r="E23" s="511">
        <v>2361650</v>
      </c>
      <c r="F23" s="175">
        <v>2335873</v>
      </c>
      <c r="G23" s="510">
        <f t="shared" si="1"/>
        <v>4697523</v>
      </c>
    </row>
    <row r="24" spans="1:8" x14ac:dyDescent="0.25">
      <c r="A24" s="508" t="s">
        <v>171</v>
      </c>
      <c r="B24" s="509">
        <v>4175631</v>
      </c>
      <c r="C24" s="175">
        <v>11054340</v>
      </c>
      <c r="D24" s="510">
        <f t="shared" si="0"/>
        <v>15229971</v>
      </c>
      <c r="E24" s="511">
        <v>4200863</v>
      </c>
      <c r="F24" s="175">
        <v>11809025</v>
      </c>
      <c r="G24" s="510">
        <f t="shared" si="1"/>
        <v>16009888</v>
      </c>
    </row>
    <row r="25" spans="1:8" x14ac:dyDescent="0.25">
      <c r="A25" s="508" t="s">
        <v>172</v>
      </c>
      <c r="B25" s="509">
        <v>9857632</v>
      </c>
      <c r="C25" s="175">
        <v>1690991</v>
      </c>
      <c r="D25" s="510">
        <f t="shared" si="0"/>
        <v>11548623</v>
      </c>
      <c r="E25" s="511">
        <v>2916876</v>
      </c>
      <c r="F25" s="175">
        <v>1649032</v>
      </c>
      <c r="G25" s="510">
        <f t="shared" si="1"/>
        <v>4565908</v>
      </c>
    </row>
    <row r="26" spans="1:8" x14ac:dyDescent="0.25">
      <c r="A26" s="508" t="s">
        <v>173</v>
      </c>
      <c r="B26" s="509">
        <v>54315284</v>
      </c>
      <c r="C26" s="175">
        <v>132307345</v>
      </c>
      <c r="D26" s="510">
        <f t="shared" si="0"/>
        <v>186622629</v>
      </c>
      <c r="E26" s="511">
        <v>54817026</v>
      </c>
      <c r="F26" s="175">
        <v>285002518</v>
      </c>
      <c r="G26" s="510">
        <f t="shared" si="1"/>
        <v>339819544</v>
      </c>
    </row>
    <row r="27" spans="1:8" x14ac:dyDescent="0.25">
      <c r="A27" s="508" t="s">
        <v>174</v>
      </c>
      <c r="B27" s="509">
        <v>830670</v>
      </c>
      <c r="C27" s="175">
        <v>835671</v>
      </c>
      <c r="D27" s="510">
        <f t="shared" si="0"/>
        <v>1666341</v>
      </c>
      <c r="E27" s="511">
        <v>824105</v>
      </c>
      <c r="F27" s="175">
        <v>1076489</v>
      </c>
      <c r="G27" s="510">
        <f t="shared" si="1"/>
        <v>1900594</v>
      </c>
    </row>
    <row r="28" spans="1:8" ht="15.75" thickBot="1" x14ac:dyDescent="0.3">
      <c r="A28" s="512" t="s">
        <v>175</v>
      </c>
      <c r="B28" s="200">
        <v>11151231</v>
      </c>
      <c r="C28" s="196">
        <v>17809712</v>
      </c>
      <c r="D28" s="197">
        <f t="shared" si="0"/>
        <v>28960943</v>
      </c>
      <c r="E28" s="201">
        <v>8125909</v>
      </c>
      <c r="F28" s="196">
        <v>17789868</v>
      </c>
      <c r="G28" s="197">
        <f t="shared" si="1"/>
        <v>25915777</v>
      </c>
    </row>
    <row r="29" spans="1:8" ht="15.75" thickBot="1" x14ac:dyDescent="0.3">
      <c r="A29" s="198" t="s">
        <v>73</v>
      </c>
      <c r="B29" s="200">
        <f>SUM(B9:B28)</f>
        <v>243469653</v>
      </c>
      <c r="C29" s="196">
        <f t="shared" ref="C29" si="2">SUM(C9:C28)</f>
        <v>288427423</v>
      </c>
      <c r="D29" s="197">
        <f>SUM(D9:D28)</f>
        <v>531897076</v>
      </c>
      <c r="E29" s="201">
        <f>SUM(E9:E28)</f>
        <v>271008615</v>
      </c>
      <c r="F29" s="201">
        <f>SUM(F9:F28)</f>
        <v>464758438</v>
      </c>
      <c r="G29" s="197">
        <f>SUM(G9:G28)</f>
        <v>735767053</v>
      </c>
      <c r="H29" s="221"/>
    </row>
    <row r="32" spans="1:8" x14ac:dyDescent="0.25">
      <c r="C32" s="126"/>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D33"/>
  <sheetViews>
    <sheetView zoomScale="90" zoomScaleNormal="90" workbookViewId="0">
      <selection activeCell="B1" sqref="B1:C1"/>
    </sheetView>
  </sheetViews>
  <sheetFormatPr baseColWidth="10" defaultRowHeight="15" x14ac:dyDescent="0.25"/>
  <cols>
    <col min="1" max="1" width="3.5703125" customWidth="1"/>
    <col min="2" max="2" width="29" customWidth="1"/>
    <col min="3" max="3" width="30.5703125" customWidth="1"/>
  </cols>
  <sheetData>
    <row r="1" spans="2:4" x14ac:dyDescent="0.25">
      <c r="B1" s="700"/>
      <c r="C1" s="700"/>
    </row>
    <row r="2" spans="2:4" x14ac:dyDescent="0.25">
      <c r="B2" s="11"/>
      <c r="C2" s="11"/>
    </row>
    <row r="3" spans="2:4" x14ac:dyDescent="0.25">
      <c r="B3" s="669" t="s">
        <v>179</v>
      </c>
      <c r="C3" s="669"/>
    </row>
    <row r="4" spans="2:4" x14ac:dyDescent="0.25">
      <c r="B4" s="669"/>
      <c r="C4" s="669"/>
    </row>
    <row r="5" spans="2:4" ht="15.75" thickBot="1" x14ac:dyDescent="0.3">
      <c r="B5" s="15"/>
      <c r="C5" s="15"/>
    </row>
    <row r="6" spans="2:4" ht="15" customHeight="1" x14ac:dyDescent="0.25">
      <c r="B6" s="675" t="s">
        <v>93</v>
      </c>
      <c r="C6" s="788" t="s">
        <v>323</v>
      </c>
    </row>
    <row r="7" spans="2:4" x14ac:dyDescent="0.25">
      <c r="B7" s="676"/>
      <c r="C7" s="797"/>
    </row>
    <row r="8" spans="2:4" x14ac:dyDescent="0.25">
      <c r="B8" s="676"/>
      <c r="C8" s="797"/>
    </row>
    <row r="9" spans="2:4" ht="15.75" thickBot="1" x14ac:dyDescent="0.3">
      <c r="B9" s="677"/>
      <c r="C9" s="798"/>
    </row>
    <row r="10" spans="2:4" ht="24" customHeight="1" x14ac:dyDescent="0.25">
      <c r="B10" s="154" t="s">
        <v>53</v>
      </c>
      <c r="C10" s="514">
        <v>37309</v>
      </c>
      <c r="D10" s="81"/>
    </row>
    <row r="11" spans="2:4" ht="24" customHeight="1" x14ac:dyDescent="0.25">
      <c r="B11" s="154" t="s">
        <v>54</v>
      </c>
      <c r="C11" s="515">
        <v>15953</v>
      </c>
      <c r="D11" s="81"/>
    </row>
    <row r="12" spans="2:4" ht="24" customHeight="1" x14ac:dyDescent="0.25">
      <c r="B12" s="154" t="s">
        <v>55</v>
      </c>
      <c r="C12" s="502">
        <v>11851</v>
      </c>
      <c r="D12" s="81"/>
    </row>
    <row r="13" spans="2:4" ht="24" customHeight="1" x14ac:dyDescent="0.25">
      <c r="B13" s="154" t="s">
        <v>56</v>
      </c>
      <c r="C13" s="502">
        <v>150250</v>
      </c>
      <c r="D13" s="81"/>
    </row>
    <row r="14" spans="2:4" ht="24" customHeight="1" x14ac:dyDescent="0.25">
      <c r="B14" s="154" t="s">
        <v>57</v>
      </c>
      <c r="C14" s="502">
        <v>75520</v>
      </c>
      <c r="D14" s="81"/>
    </row>
    <row r="15" spans="2:4" ht="24" customHeight="1" x14ac:dyDescent="0.25">
      <c r="B15" s="154" t="s">
        <v>58</v>
      </c>
      <c r="C15" s="502">
        <v>42514</v>
      </c>
      <c r="D15" s="81"/>
    </row>
    <row r="16" spans="2:4" ht="24" customHeight="1" x14ac:dyDescent="0.25">
      <c r="B16" s="154" t="s">
        <v>59</v>
      </c>
      <c r="C16" s="502">
        <v>12614</v>
      </c>
      <c r="D16" s="81"/>
    </row>
    <row r="17" spans="2:4" ht="24" customHeight="1" x14ac:dyDescent="0.25">
      <c r="B17" s="154" t="s">
        <v>60</v>
      </c>
      <c r="C17" s="502">
        <v>29416</v>
      </c>
      <c r="D17" s="81"/>
    </row>
    <row r="18" spans="2:4" ht="24" customHeight="1" x14ac:dyDescent="0.25">
      <c r="B18" s="154" t="s">
        <v>61</v>
      </c>
      <c r="C18" s="502">
        <v>18580</v>
      </c>
      <c r="D18" s="81"/>
    </row>
    <row r="19" spans="2:4" ht="24" customHeight="1" x14ac:dyDescent="0.25">
      <c r="B19" s="154" t="s">
        <v>62</v>
      </c>
      <c r="C19" s="502">
        <v>14315</v>
      </c>
      <c r="D19" s="81"/>
    </row>
    <row r="20" spans="2:4" ht="24" customHeight="1" x14ac:dyDescent="0.25">
      <c r="B20" s="154" t="s">
        <v>63</v>
      </c>
      <c r="C20" s="502">
        <v>33901</v>
      </c>
      <c r="D20" s="81"/>
    </row>
    <row r="21" spans="2:4" ht="24" customHeight="1" x14ac:dyDescent="0.25">
      <c r="B21" s="154" t="s">
        <v>64</v>
      </c>
      <c r="C21" s="502">
        <v>24743</v>
      </c>
      <c r="D21" s="81"/>
    </row>
    <row r="22" spans="2:4" ht="24" customHeight="1" x14ac:dyDescent="0.25">
      <c r="B22" s="154" t="s">
        <v>65</v>
      </c>
      <c r="C22" s="502">
        <v>43979</v>
      </c>
      <c r="D22" s="81"/>
    </row>
    <row r="23" spans="2:4" ht="24" customHeight="1" x14ac:dyDescent="0.25">
      <c r="B23" s="154" t="s">
        <v>66</v>
      </c>
      <c r="C23" s="502">
        <v>7499</v>
      </c>
      <c r="D23" s="81"/>
    </row>
    <row r="24" spans="2:4" ht="24" customHeight="1" x14ac:dyDescent="0.25">
      <c r="B24" s="154" t="s">
        <v>67</v>
      </c>
      <c r="C24" s="502">
        <v>23477</v>
      </c>
      <c r="D24" s="81"/>
    </row>
    <row r="25" spans="2:4" ht="24" customHeight="1" x14ac:dyDescent="0.25">
      <c r="B25" s="154" t="s">
        <v>68</v>
      </c>
      <c r="C25" s="502">
        <v>97820</v>
      </c>
      <c r="D25" s="81"/>
    </row>
    <row r="26" spans="2:4" ht="24" customHeight="1" x14ac:dyDescent="0.25">
      <c r="B26" s="154" t="s">
        <v>69</v>
      </c>
      <c r="C26" s="502">
        <v>39718</v>
      </c>
      <c r="D26" s="81"/>
    </row>
    <row r="27" spans="2:4" ht="24" customHeight="1" x14ac:dyDescent="0.25">
      <c r="B27" s="154" t="s">
        <v>70</v>
      </c>
      <c r="C27" s="502">
        <v>413608</v>
      </c>
      <c r="D27" s="81"/>
    </row>
    <row r="28" spans="2:4" ht="24" customHeight="1" x14ac:dyDescent="0.25">
      <c r="B28" s="154" t="s">
        <v>71</v>
      </c>
      <c r="C28" s="502">
        <v>30565</v>
      </c>
      <c r="D28" s="81"/>
    </row>
    <row r="29" spans="2:4" ht="24" customHeight="1" thickBot="1" x14ac:dyDescent="0.3">
      <c r="B29" s="154" t="s">
        <v>72</v>
      </c>
      <c r="C29" s="502">
        <v>57418</v>
      </c>
      <c r="D29" s="81"/>
    </row>
    <row r="30" spans="2:4" ht="24" customHeight="1" thickBot="1" x14ac:dyDescent="0.3">
      <c r="B30" s="156" t="s">
        <v>73</v>
      </c>
      <c r="C30" s="516">
        <f>SUM(C10:C29)</f>
        <v>1181050</v>
      </c>
    </row>
    <row r="31" spans="2:4" x14ac:dyDescent="0.25">
      <c r="B31" s="11"/>
      <c r="C31" s="11"/>
    </row>
    <row r="32" spans="2:4" x14ac:dyDescent="0.25">
      <c r="B32" s="11" t="s">
        <v>180</v>
      </c>
      <c r="C32" s="11"/>
    </row>
    <row r="33" spans="2:2" x14ac:dyDescent="0.25">
      <c r="B33" s="164" t="s">
        <v>181</v>
      </c>
    </row>
  </sheetData>
  <mergeCells count="5">
    <mergeCell ref="B3:C3"/>
    <mergeCell ref="B4:C4"/>
    <mergeCell ref="B6:B9"/>
    <mergeCell ref="C6:C9"/>
    <mergeCell ref="B1:C1"/>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A3" sqref="A3:O3"/>
    </sheetView>
  </sheetViews>
  <sheetFormatPr baseColWidth="10" defaultColWidth="11.42578125" defaultRowHeight="12.75" x14ac:dyDescent="0.2"/>
  <cols>
    <col min="1" max="1" width="16.85546875" style="415" customWidth="1"/>
    <col min="2" max="2" width="9.28515625" style="415" bestFit="1" customWidth="1"/>
    <col min="3" max="8" width="10" style="415" bestFit="1" customWidth="1"/>
    <col min="9" max="10" width="11.7109375" style="415" bestFit="1" customWidth="1"/>
    <col min="11" max="11" width="15.28515625" style="415" bestFit="1" customWidth="1"/>
    <col min="12" max="14" width="11.7109375" style="415" bestFit="1" customWidth="1"/>
    <col min="15" max="15" width="13" style="415" bestFit="1" customWidth="1"/>
    <col min="16" max="16384" width="11.42578125" style="415"/>
  </cols>
  <sheetData>
    <row r="1" spans="1:15" ht="15.75" x14ac:dyDescent="0.25">
      <c r="A1" s="799" t="s">
        <v>339</v>
      </c>
      <c r="B1" s="799"/>
      <c r="C1" s="799"/>
      <c r="D1" s="799"/>
      <c r="E1" s="799"/>
      <c r="F1" s="799"/>
      <c r="G1" s="799"/>
      <c r="H1" s="799"/>
      <c r="I1" s="799"/>
      <c r="J1" s="799"/>
      <c r="K1" s="799"/>
      <c r="L1" s="799"/>
      <c r="M1" s="799"/>
      <c r="N1" s="799"/>
      <c r="O1" s="799"/>
    </row>
    <row r="2" spans="1:15" x14ac:dyDescent="0.2">
      <c r="A2" s="800" t="s">
        <v>340</v>
      </c>
      <c r="B2" s="800"/>
      <c r="C2" s="800"/>
      <c r="D2" s="800"/>
      <c r="E2" s="800"/>
      <c r="F2" s="800"/>
      <c r="G2" s="800"/>
      <c r="H2" s="800"/>
      <c r="I2" s="800"/>
      <c r="J2" s="800"/>
      <c r="K2" s="800"/>
      <c r="L2" s="800"/>
      <c r="M2" s="800"/>
      <c r="N2" s="800"/>
      <c r="O2" s="800"/>
    </row>
    <row r="3" spans="1:15" x14ac:dyDescent="0.2">
      <c r="A3" s="800" t="s">
        <v>341</v>
      </c>
      <c r="B3" s="800"/>
      <c r="C3" s="800"/>
      <c r="D3" s="800"/>
      <c r="E3" s="800"/>
      <c r="F3" s="800"/>
      <c r="G3" s="800"/>
      <c r="H3" s="800"/>
      <c r="I3" s="800"/>
      <c r="J3" s="800"/>
      <c r="K3" s="800"/>
      <c r="L3" s="800"/>
      <c r="M3" s="800"/>
      <c r="N3" s="800"/>
      <c r="O3" s="800"/>
    </row>
    <row r="4" spans="1:15" x14ac:dyDescent="0.2">
      <c r="A4" s="801" t="s">
        <v>342</v>
      </c>
      <c r="B4" s="801"/>
      <c r="C4" s="801"/>
      <c r="D4" s="801"/>
      <c r="E4" s="801"/>
      <c r="F4" s="801"/>
      <c r="G4" s="801"/>
      <c r="H4" s="801"/>
      <c r="I4" s="801"/>
      <c r="J4" s="801"/>
      <c r="K4" s="801"/>
      <c r="L4" s="801"/>
      <c r="M4" s="801"/>
      <c r="N4" s="801"/>
      <c r="O4" s="801"/>
    </row>
    <row r="5" spans="1:15" ht="13.5" thickBot="1" x14ac:dyDescent="0.25"/>
    <row r="6" spans="1:15" ht="23.25" thickBot="1" x14ac:dyDescent="0.25">
      <c r="A6" s="416" t="s">
        <v>21</v>
      </c>
      <c r="B6" s="417" t="s">
        <v>343</v>
      </c>
      <c r="C6" s="416" t="s">
        <v>1</v>
      </c>
      <c r="D6" s="418" t="s">
        <v>2</v>
      </c>
      <c r="E6" s="416" t="s">
        <v>4</v>
      </c>
      <c r="F6" s="418" t="s">
        <v>7</v>
      </c>
      <c r="G6" s="416" t="s">
        <v>10</v>
      </c>
      <c r="H6" s="416" t="s">
        <v>12</v>
      </c>
      <c r="I6" s="416" t="s">
        <v>13</v>
      </c>
      <c r="J6" s="418" t="s">
        <v>15</v>
      </c>
      <c r="K6" s="416" t="s">
        <v>16</v>
      </c>
      <c r="L6" s="418" t="s">
        <v>17</v>
      </c>
      <c r="M6" s="416" t="s">
        <v>18</v>
      </c>
      <c r="N6" s="416" t="s">
        <v>19</v>
      </c>
      <c r="O6" s="419" t="s">
        <v>178</v>
      </c>
    </row>
    <row r="7" spans="1:15" x14ac:dyDescent="0.2">
      <c r="A7" s="420" t="s">
        <v>344</v>
      </c>
      <c r="B7" s="421">
        <v>3.9399999999999998E-2</v>
      </c>
      <c r="C7" s="422">
        <v>56963.546951054755</v>
      </c>
      <c r="D7" s="423">
        <v>86906.697217008536</v>
      </c>
      <c r="E7" s="422">
        <v>59746.246585840105</v>
      </c>
      <c r="F7" s="423">
        <v>67867.982827057887</v>
      </c>
      <c r="G7" s="422">
        <v>64660.762935787861</v>
      </c>
      <c r="H7" s="422">
        <v>67599.96159390721</v>
      </c>
      <c r="I7" s="424">
        <v>68696.572300394633</v>
      </c>
      <c r="J7" s="423">
        <v>71269.225402021868</v>
      </c>
      <c r="K7" s="422">
        <v>68949.326174828399</v>
      </c>
      <c r="L7" s="423">
        <v>67391.350673871697</v>
      </c>
      <c r="M7" s="422">
        <v>65860.428313614349</v>
      </c>
      <c r="N7" s="422">
        <v>66121.899024612852</v>
      </c>
      <c r="O7" s="425">
        <f>SUM(C7:N7)</f>
        <v>812034</v>
      </c>
    </row>
    <row r="8" spans="1:15" x14ac:dyDescent="0.2">
      <c r="A8" s="420" t="s">
        <v>157</v>
      </c>
      <c r="B8" s="426">
        <v>5.7799999999999997E-2</v>
      </c>
      <c r="C8" s="422">
        <v>83565.812532257987</v>
      </c>
      <c r="D8" s="423">
        <v>127492.56596809882</v>
      </c>
      <c r="E8" s="422">
        <v>87648.047021866951</v>
      </c>
      <c r="F8" s="423">
        <v>99562.675314820954</v>
      </c>
      <c r="G8" s="422">
        <v>94857.667454023816</v>
      </c>
      <c r="H8" s="422">
        <v>99169.486805275053</v>
      </c>
      <c r="I8" s="422">
        <v>100778.22027824391</v>
      </c>
      <c r="J8" s="423">
        <v>104552.31543748386</v>
      </c>
      <c r="K8" s="422">
        <v>101149.01149505284</v>
      </c>
      <c r="L8" s="423">
        <v>98863.453526644254</v>
      </c>
      <c r="M8" s="422">
        <v>96617.582652967249</v>
      </c>
      <c r="N8" s="422">
        <v>97001.161513264538</v>
      </c>
      <c r="O8" s="425">
        <f t="shared" ref="O8:O26" si="0">SUM(C8:N8)</f>
        <v>1191258.0000000002</v>
      </c>
    </row>
    <row r="9" spans="1:15" x14ac:dyDescent="0.2">
      <c r="A9" s="420" t="s">
        <v>158</v>
      </c>
      <c r="B9" s="426">
        <v>6.1199999999999997E-2</v>
      </c>
      <c r="C9" s="422">
        <v>88481.44856356729</v>
      </c>
      <c r="D9" s="423">
        <v>134992.12867210462</v>
      </c>
      <c r="E9" s="422">
        <v>92803.814493741476</v>
      </c>
      <c r="F9" s="423">
        <v>105419.30327451631</v>
      </c>
      <c r="G9" s="422">
        <v>100437.53024543698</v>
      </c>
      <c r="H9" s="422">
        <v>105002.98602911476</v>
      </c>
      <c r="I9" s="422">
        <v>106706.3508828465</v>
      </c>
      <c r="J9" s="423">
        <v>110702.45163968879</v>
      </c>
      <c r="K9" s="422">
        <v>107098.95334770301</v>
      </c>
      <c r="L9" s="423">
        <v>104678.95079291746</v>
      </c>
      <c r="M9" s="422">
        <v>102300.96986784769</v>
      </c>
      <c r="N9" s="422">
        <v>102707.1121905154</v>
      </c>
      <c r="O9" s="425">
        <f t="shared" si="0"/>
        <v>1261332.0000000005</v>
      </c>
    </row>
    <row r="10" spans="1:15" x14ac:dyDescent="0.2">
      <c r="A10" s="420" t="s">
        <v>345</v>
      </c>
      <c r="B10" s="426">
        <v>5.0799999999999998E-2</v>
      </c>
      <c r="C10" s="422">
        <v>73445.385408974151</v>
      </c>
      <c r="D10" s="423">
        <v>112052.28981279273</v>
      </c>
      <c r="E10" s="422">
        <v>77033.231638595869</v>
      </c>
      <c r="F10" s="423">
        <v>87504.911868389361</v>
      </c>
      <c r="G10" s="422">
        <v>83369.714648173191</v>
      </c>
      <c r="H10" s="422">
        <v>87159.341344428598</v>
      </c>
      <c r="I10" s="422">
        <v>88573.245504062128</v>
      </c>
      <c r="J10" s="423">
        <v>91890.270315297239</v>
      </c>
      <c r="K10" s="422">
        <v>88899.131210184845</v>
      </c>
      <c r="L10" s="423">
        <v>86890.370919611218</v>
      </c>
      <c r="M10" s="422">
        <v>84916.491328213437</v>
      </c>
      <c r="N10" s="422">
        <v>85253.616001277493</v>
      </c>
      <c r="O10" s="425">
        <f t="shared" si="0"/>
        <v>1046988.0000000002</v>
      </c>
    </row>
    <row r="11" spans="1:15" x14ac:dyDescent="0.2">
      <c r="A11" s="420" t="s">
        <v>160</v>
      </c>
      <c r="B11" s="426">
        <v>3.0700000000000002E-2</v>
      </c>
      <c r="C11" s="422">
        <v>44385.301812116275</v>
      </c>
      <c r="D11" s="423">
        <v>67716.63970969955</v>
      </c>
      <c r="E11" s="422">
        <v>46553.54746663176</v>
      </c>
      <c r="F11" s="423">
        <v>52881.905400778611</v>
      </c>
      <c r="G11" s="422">
        <v>50382.878734230646</v>
      </c>
      <c r="H11" s="422">
        <v>52673.066521140907</v>
      </c>
      <c r="I11" s="422">
        <v>53527.532223911563</v>
      </c>
      <c r="J11" s="423">
        <v>55532.112178732787</v>
      </c>
      <c r="K11" s="422">
        <v>53724.474963635337</v>
      </c>
      <c r="L11" s="423">
        <v>52510.519433702058</v>
      </c>
      <c r="M11" s="422">
        <v>51317.643381420326</v>
      </c>
      <c r="N11" s="422">
        <v>51521.378174000376</v>
      </c>
      <c r="O11" s="425">
        <f t="shared" si="0"/>
        <v>632727.00000000023</v>
      </c>
    </row>
    <row r="12" spans="1:15" x14ac:dyDescent="0.2">
      <c r="A12" s="420" t="s">
        <v>346</v>
      </c>
      <c r="B12" s="426">
        <v>9.5100000000000004E-2</v>
      </c>
      <c r="C12" s="422">
        <v>137493.23134632761</v>
      </c>
      <c r="D12" s="423">
        <v>209767.18033851555</v>
      </c>
      <c r="E12" s="422">
        <v>144209.84899272575</v>
      </c>
      <c r="F12" s="423">
        <v>163813.32910794936</v>
      </c>
      <c r="G12" s="422">
        <v>156072.0445480565</v>
      </c>
      <c r="H12" s="422">
        <v>163166.40476092836</v>
      </c>
      <c r="I12" s="422">
        <v>165813.30014638402</v>
      </c>
      <c r="J12" s="423">
        <v>172022.92730284977</v>
      </c>
      <c r="K12" s="422">
        <v>166423.37358442086</v>
      </c>
      <c r="L12" s="423">
        <v>162662.87941840605</v>
      </c>
      <c r="M12" s="422">
        <v>158967.68356915549</v>
      </c>
      <c r="N12" s="422">
        <v>159598.7968842813</v>
      </c>
      <c r="O12" s="425">
        <f t="shared" si="0"/>
        <v>1960011.0000000005</v>
      </c>
    </row>
    <row r="13" spans="1:15" x14ac:dyDescent="0.2">
      <c r="A13" s="420" t="s">
        <v>162</v>
      </c>
      <c r="B13" s="426">
        <v>9.3299999999999994E-2</v>
      </c>
      <c r="C13" s="422">
        <v>134890.83580034031</v>
      </c>
      <c r="D13" s="423">
        <v>205796.82361286538</v>
      </c>
      <c r="E13" s="422">
        <v>141480.32503702745</v>
      </c>
      <c r="F13" s="423">
        <v>160712.76136458124</v>
      </c>
      <c r="G13" s="422">
        <v>153117.99954083774</v>
      </c>
      <c r="H13" s="422">
        <v>160078.08164242495</v>
      </c>
      <c r="I13" s="422">
        <v>162674.87806159441</v>
      </c>
      <c r="J13" s="423">
        <v>168766.9728428589</v>
      </c>
      <c r="K13" s="422">
        <v>163273.40436831192</v>
      </c>
      <c r="L13" s="423">
        <v>159584.08674802611</v>
      </c>
      <c r="M13" s="422">
        <v>155958.83151421876</v>
      </c>
      <c r="N13" s="422">
        <v>156577.99946691317</v>
      </c>
      <c r="O13" s="425">
        <f t="shared" si="0"/>
        <v>1922913.0000000005</v>
      </c>
    </row>
    <row r="14" spans="1:15" x14ac:dyDescent="0.2">
      <c r="A14" s="420" t="s">
        <v>163</v>
      </c>
      <c r="B14" s="426">
        <v>4.5199999999999997E-2</v>
      </c>
      <c r="C14" s="422">
        <v>65349.043710347076</v>
      </c>
      <c r="D14" s="423">
        <v>99700.068888547859</v>
      </c>
      <c r="E14" s="422">
        <v>68541.379331978998</v>
      </c>
      <c r="F14" s="423">
        <v>77858.701111244067</v>
      </c>
      <c r="G14" s="422">
        <v>74179.352403492667</v>
      </c>
      <c r="H14" s="422">
        <v>77551.224975751422</v>
      </c>
      <c r="I14" s="422">
        <v>78809.265684716695</v>
      </c>
      <c r="J14" s="423">
        <v>81760.634217547937</v>
      </c>
      <c r="K14" s="422">
        <v>79099.226982290449</v>
      </c>
      <c r="L14" s="423">
        <v>77311.90483398478</v>
      </c>
      <c r="M14" s="422">
        <v>75555.618268410384</v>
      </c>
      <c r="N14" s="422">
        <v>75855.579591687841</v>
      </c>
      <c r="O14" s="425">
        <f t="shared" si="0"/>
        <v>931572.00000000035</v>
      </c>
    </row>
    <row r="15" spans="1:15" x14ac:dyDescent="0.2">
      <c r="A15" s="420" t="s">
        <v>164</v>
      </c>
      <c r="B15" s="426">
        <v>5.0799999999999998E-2</v>
      </c>
      <c r="C15" s="422">
        <v>73445.385408974151</v>
      </c>
      <c r="D15" s="423">
        <v>112052.28981279273</v>
      </c>
      <c r="E15" s="422">
        <v>77033.231638595869</v>
      </c>
      <c r="F15" s="423">
        <v>87504.911868389361</v>
      </c>
      <c r="G15" s="422">
        <v>83369.714648173191</v>
      </c>
      <c r="H15" s="422">
        <v>87159.341344428598</v>
      </c>
      <c r="I15" s="422">
        <v>88573.245504062128</v>
      </c>
      <c r="J15" s="423">
        <v>91890.270315297239</v>
      </c>
      <c r="K15" s="422">
        <v>88899.131210184845</v>
      </c>
      <c r="L15" s="423">
        <v>86890.370919611218</v>
      </c>
      <c r="M15" s="422">
        <v>84916.491328213437</v>
      </c>
      <c r="N15" s="422">
        <v>85253.616001277493</v>
      </c>
      <c r="O15" s="425">
        <f t="shared" si="0"/>
        <v>1046988.0000000002</v>
      </c>
    </row>
    <row r="16" spans="1:15" x14ac:dyDescent="0.2">
      <c r="A16" s="420" t="s">
        <v>165</v>
      </c>
      <c r="B16" s="426">
        <v>8.9200000000000002E-2</v>
      </c>
      <c r="C16" s="422">
        <v>128963.15705670265</v>
      </c>
      <c r="D16" s="423">
        <v>196753.23329332899</v>
      </c>
      <c r="E16" s="422">
        <v>135263.07602682582</v>
      </c>
      <c r="F16" s="423">
        <v>153650.35706024274</v>
      </c>
      <c r="G16" s="422">
        <v>146389.34146883953</v>
      </c>
      <c r="H16" s="422">
        <v>153043.5678725006</v>
      </c>
      <c r="I16" s="422">
        <v>155526.24997957365</v>
      </c>
      <c r="J16" s="423">
        <v>161350.6321284353</v>
      </c>
      <c r="K16" s="422">
        <v>156098.47448717497</v>
      </c>
      <c r="L16" s="423">
        <v>152571.28122104963</v>
      </c>
      <c r="M16" s="422">
        <v>149105.33516686296</v>
      </c>
      <c r="N16" s="422">
        <v>149697.29423846363</v>
      </c>
      <c r="O16" s="425">
        <f t="shared" si="0"/>
        <v>1838412.0000000005</v>
      </c>
    </row>
    <row r="17" spans="1:15" x14ac:dyDescent="0.2">
      <c r="A17" s="420" t="s">
        <v>166</v>
      </c>
      <c r="B17" s="426">
        <v>5.0200000000000002E-2</v>
      </c>
      <c r="C17" s="422">
        <v>72577.9202269784</v>
      </c>
      <c r="D17" s="423">
        <v>110728.83757090935</v>
      </c>
      <c r="E17" s="422">
        <v>76123.390320029779</v>
      </c>
      <c r="F17" s="423">
        <v>86471.389287266647</v>
      </c>
      <c r="G17" s="422">
        <v>82385.032979100273</v>
      </c>
      <c r="H17" s="422">
        <v>86129.900304927476</v>
      </c>
      <c r="I17" s="422">
        <v>87527.104809132259</v>
      </c>
      <c r="J17" s="423">
        <v>90804.952161966954</v>
      </c>
      <c r="K17" s="422">
        <v>87849.141471481882</v>
      </c>
      <c r="L17" s="423">
        <v>85864.106696151255</v>
      </c>
      <c r="M17" s="422">
        <v>83913.540643234548</v>
      </c>
      <c r="N17" s="422">
        <v>84246.683528821464</v>
      </c>
      <c r="O17" s="425">
        <f t="shared" si="0"/>
        <v>1034622.0000000002</v>
      </c>
    </row>
    <row r="18" spans="1:15" x14ac:dyDescent="0.2">
      <c r="A18" s="420" t="s">
        <v>167</v>
      </c>
      <c r="B18" s="426">
        <v>4.2900000000000001E-2</v>
      </c>
      <c r="C18" s="422">
        <v>62023.760512696681</v>
      </c>
      <c r="D18" s="423">
        <v>94626.835294661578</v>
      </c>
      <c r="E18" s="422">
        <v>65053.654277475653</v>
      </c>
      <c r="F18" s="423">
        <v>73896.864550273691</v>
      </c>
      <c r="G18" s="422">
        <v>70404.739338713189</v>
      </c>
      <c r="H18" s="422">
        <v>73605.034324330452</v>
      </c>
      <c r="I18" s="422">
        <v>74799.05968748554</v>
      </c>
      <c r="J18" s="423">
        <v>77600.247963115195</v>
      </c>
      <c r="K18" s="422">
        <v>75074.266317262402</v>
      </c>
      <c r="L18" s="423">
        <v>73377.891977388223</v>
      </c>
      <c r="M18" s="422">
        <v>71710.973975991277</v>
      </c>
      <c r="N18" s="422">
        <v>71995.671780606383</v>
      </c>
      <c r="O18" s="425">
        <f t="shared" si="0"/>
        <v>884169.00000000023</v>
      </c>
    </row>
    <row r="19" spans="1:15" x14ac:dyDescent="0.2">
      <c r="A19" s="420" t="s">
        <v>168</v>
      </c>
      <c r="B19" s="426">
        <v>3.04E-2</v>
      </c>
      <c r="C19" s="422">
        <v>43951.569221118392</v>
      </c>
      <c r="D19" s="423">
        <v>67054.91358875786</v>
      </c>
      <c r="E19" s="422">
        <v>46098.626807348708</v>
      </c>
      <c r="F19" s="423">
        <v>52365.144110217254</v>
      </c>
      <c r="G19" s="422">
        <v>49890.537899694187</v>
      </c>
      <c r="H19" s="422">
        <v>52158.346001390346</v>
      </c>
      <c r="I19" s="422">
        <v>53004.461876446629</v>
      </c>
      <c r="J19" s="423">
        <v>54989.453102067637</v>
      </c>
      <c r="K19" s="422">
        <v>53199.480094283848</v>
      </c>
      <c r="L19" s="423">
        <v>51997.38732197207</v>
      </c>
      <c r="M19" s="422">
        <v>50816.168038930875</v>
      </c>
      <c r="N19" s="422">
        <v>51017.911937772355</v>
      </c>
      <c r="O19" s="425">
        <f t="shared" si="0"/>
        <v>626544.00000000023</v>
      </c>
    </row>
    <row r="20" spans="1:15" x14ac:dyDescent="0.2">
      <c r="A20" s="420" t="s">
        <v>347</v>
      </c>
      <c r="B20" s="426">
        <v>6.7000000000000004E-2</v>
      </c>
      <c r="C20" s="422">
        <v>96866.94532285961</v>
      </c>
      <c r="D20" s="423">
        <v>147785.50034364397</v>
      </c>
      <c r="E20" s="422">
        <v>101598.94723988039</v>
      </c>
      <c r="F20" s="423">
        <v>115410.02155870252</v>
      </c>
      <c r="G20" s="422">
        <v>109956.1197131418</v>
      </c>
      <c r="H20" s="422">
        <v>114954.24941095899</v>
      </c>
      <c r="I20" s="422">
        <v>116819.04426716856</v>
      </c>
      <c r="J20" s="423">
        <v>121193.86045521488</v>
      </c>
      <c r="K20" s="422">
        <v>117248.85415516507</v>
      </c>
      <c r="L20" s="423">
        <v>114599.50495303056</v>
      </c>
      <c r="M20" s="422">
        <v>111996.15982264372</v>
      </c>
      <c r="N20" s="422">
        <v>112440.7927575904</v>
      </c>
      <c r="O20" s="425">
        <f t="shared" si="0"/>
        <v>1380870.0000000002</v>
      </c>
    </row>
    <row r="21" spans="1:15" x14ac:dyDescent="0.2">
      <c r="A21" s="420" t="s">
        <v>348</v>
      </c>
      <c r="B21" s="426">
        <v>5.0799999999999998E-2</v>
      </c>
      <c r="C21" s="422">
        <v>73445.385408974151</v>
      </c>
      <c r="D21" s="423">
        <v>112052.28981279273</v>
      </c>
      <c r="E21" s="422">
        <v>77033.231638595869</v>
      </c>
      <c r="F21" s="423">
        <v>87504.911868389361</v>
      </c>
      <c r="G21" s="422">
        <v>83369.714648173191</v>
      </c>
      <c r="H21" s="422">
        <v>87159.341344428598</v>
      </c>
      <c r="I21" s="422">
        <v>88573.245504062128</v>
      </c>
      <c r="J21" s="423">
        <v>91890.270315297239</v>
      </c>
      <c r="K21" s="422">
        <v>88899.131210184845</v>
      </c>
      <c r="L21" s="423">
        <v>86890.370919611218</v>
      </c>
      <c r="M21" s="422">
        <v>84916.491328213437</v>
      </c>
      <c r="N21" s="422">
        <v>85253.616001277493</v>
      </c>
      <c r="O21" s="425">
        <f t="shared" si="0"/>
        <v>1046988.0000000002</v>
      </c>
    </row>
    <row r="22" spans="1:15" x14ac:dyDescent="0.2">
      <c r="A22" s="420" t="s">
        <v>349</v>
      </c>
      <c r="B22" s="426">
        <v>1.7000000000000001E-2</v>
      </c>
      <c r="C22" s="422">
        <v>24578.18015654647</v>
      </c>
      <c r="D22" s="423">
        <v>37497.813520029071</v>
      </c>
      <c r="E22" s="422">
        <v>25778.837359372636</v>
      </c>
      <c r="F22" s="423">
        <v>29283.139798476757</v>
      </c>
      <c r="G22" s="422">
        <v>27899.313957065831</v>
      </c>
      <c r="H22" s="422">
        <v>29167.496119198549</v>
      </c>
      <c r="I22" s="422">
        <v>29640.653023012917</v>
      </c>
      <c r="J22" s="423">
        <v>30750.68101102467</v>
      </c>
      <c r="K22" s="422">
        <v>29749.709263250839</v>
      </c>
      <c r="L22" s="423">
        <v>29077.486331365963</v>
      </c>
      <c r="M22" s="422">
        <v>28416.936074402136</v>
      </c>
      <c r="N22" s="422">
        <v>28529.75338625428</v>
      </c>
      <c r="O22" s="425">
        <f t="shared" si="0"/>
        <v>350370.00000000012</v>
      </c>
    </row>
    <row r="23" spans="1:15" x14ac:dyDescent="0.2">
      <c r="A23" s="420" t="s">
        <v>172</v>
      </c>
      <c r="B23" s="426">
        <v>4.0800000000000003E-2</v>
      </c>
      <c r="C23" s="422">
        <v>58987.632375711531</v>
      </c>
      <c r="D23" s="423">
        <v>89994.752448069761</v>
      </c>
      <c r="E23" s="422">
        <v>61869.20966249433</v>
      </c>
      <c r="F23" s="423">
        <v>70279.535516344215</v>
      </c>
      <c r="G23" s="422">
        <v>66958.353496957992</v>
      </c>
      <c r="H23" s="422">
        <v>70001.990686076519</v>
      </c>
      <c r="I23" s="422">
        <v>71137.567255230999</v>
      </c>
      <c r="J23" s="423">
        <v>73801.634426459204</v>
      </c>
      <c r="K23" s="422">
        <v>71399.302231802008</v>
      </c>
      <c r="L23" s="423">
        <v>69785.96719527831</v>
      </c>
      <c r="M23" s="422">
        <v>68200.646578565123</v>
      </c>
      <c r="N23" s="422">
        <v>68471.408127010276</v>
      </c>
      <c r="O23" s="425">
        <f t="shared" si="0"/>
        <v>840888.00000000023</v>
      </c>
    </row>
    <row r="24" spans="1:15" x14ac:dyDescent="0.2">
      <c r="A24" s="420" t="s">
        <v>173</v>
      </c>
      <c r="B24" s="426">
        <v>3.7000000000000002E-3</v>
      </c>
      <c r="C24" s="422">
        <v>5349.3686223071727</v>
      </c>
      <c r="D24" s="423">
        <v>8161.2888249475027</v>
      </c>
      <c r="E24" s="422">
        <v>5610.6881311575735</v>
      </c>
      <c r="F24" s="423">
        <v>6373.389250256706</v>
      </c>
      <c r="G24" s="422">
        <v>6072.2036259496217</v>
      </c>
      <c r="H24" s="422">
        <v>6348.2197435902726</v>
      </c>
      <c r="I24" s="422">
        <v>6451.2009520675174</v>
      </c>
      <c r="J24" s="423">
        <v>6692.795278870075</v>
      </c>
      <c r="K24" s="422">
        <v>6474.9367220016529</v>
      </c>
      <c r="L24" s="423">
        <v>6328.6293780031801</v>
      </c>
      <c r="M24" s="422">
        <v>6184.8625573698764</v>
      </c>
      <c r="N24" s="422">
        <v>6209.4169134788726</v>
      </c>
      <c r="O24" s="425">
        <f t="shared" si="0"/>
        <v>76257.000000000015</v>
      </c>
    </row>
    <row r="25" spans="1:15" x14ac:dyDescent="0.2">
      <c r="A25" s="420" t="s">
        <v>174</v>
      </c>
      <c r="B25" s="426">
        <v>3.7699999999999997E-2</v>
      </c>
      <c r="C25" s="422">
        <v>54505.728935400104</v>
      </c>
      <c r="D25" s="423">
        <v>83156.91586500562</v>
      </c>
      <c r="E25" s="422">
        <v>57168.362849902842</v>
      </c>
      <c r="F25" s="423">
        <v>64939.668847210211</v>
      </c>
      <c r="G25" s="422">
        <v>61870.831540081279</v>
      </c>
      <c r="H25" s="422">
        <v>64683.211981987362</v>
      </c>
      <c r="I25" s="422">
        <v>65732.506998093348</v>
      </c>
      <c r="J25" s="423">
        <v>68194.157300919396</v>
      </c>
      <c r="K25" s="422">
        <v>65974.355248503314</v>
      </c>
      <c r="L25" s="423">
        <v>64483.602040735095</v>
      </c>
      <c r="M25" s="422">
        <v>63018.734706174146</v>
      </c>
      <c r="N25" s="422">
        <v>63268.923685987422</v>
      </c>
      <c r="O25" s="425">
        <f t="shared" si="0"/>
        <v>776997</v>
      </c>
    </row>
    <row r="26" spans="1:15" ht="13.5" thickBot="1" x14ac:dyDescent="0.25">
      <c r="A26" s="420" t="s">
        <v>175</v>
      </c>
      <c r="B26" s="427">
        <v>4.5999999999999999E-2</v>
      </c>
      <c r="C26" s="422">
        <v>66505.663953008087</v>
      </c>
      <c r="D26" s="423">
        <v>101464.6718777257</v>
      </c>
      <c r="E26" s="422">
        <v>69754.501090067133</v>
      </c>
      <c r="F26" s="423">
        <v>79236.73121940768</v>
      </c>
      <c r="G26" s="422">
        <v>75492.261295589895</v>
      </c>
      <c r="H26" s="422">
        <v>78923.813028419594</v>
      </c>
      <c r="I26" s="428">
        <v>80204.119944623177</v>
      </c>
      <c r="J26" s="423">
        <v>83207.725088654974</v>
      </c>
      <c r="K26" s="422">
        <v>80499.213300561081</v>
      </c>
      <c r="L26" s="423">
        <v>78680.257131931416</v>
      </c>
      <c r="M26" s="422">
        <v>76892.885848382241</v>
      </c>
      <c r="N26" s="422">
        <v>77198.156221629222</v>
      </c>
      <c r="O26" s="425">
        <f t="shared" si="0"/>
        <v>948060.00000000023</v>
      </c>
    </row>
    <row r="27" spans="1:15" ht="13.5" thickBot="1" x14ac:dyDescent="0.25">
      <c r="A27" s="429" t="s">
        <v>350</v>
      </c>
      <c r="B27" s="430">
        <f>SUM(B7:B26)</f>
        <v>1</v>
      </c>
      <c r="C27" s="431">
        <f>SUM(C7:C26)</f>
        <v>1445775.3033262629</v>
      </c>
      <c r="D27" s="431">
        <f t="shared" ref="D27:O27" si="1">SUM(D7:D26)</f>
        <v>2205753.7364722979</v>
      </c>
      <c r="E27" s="431">
        <f t="shared" si="1"/>
        <v>1516402.197610155</v>
      </c>
      <c r="F27" s="431">
        <f t="shared" si="1"/>
        <v>1722537.6352045152</v>
      </c>
      <c r="G27" s="431">
        <f t="shared" si="1"/>
        <v>1641136.1151215194</v>
      </c>
      <c r="H27" s="431">
        <f t="shared" si="1"/>
        <v>1715735.0658352086</v>
      </c>
      <c r="I27" s="431">
        <f t="shared" si="1"/>
        <v>1743567.8248831125</v>
      </c>
      <c r="J27" s="431">
        <f t="shared" si="1"/>
        <v>1808863.5888838039</v>
      </c>
      <c r="K27" s="431">
        <f t="shared" si="1"/>
        <v>1749982.8978382845</v>
      </c>
      <c r="L27" s="431">
        <f t="shared" si="1"/>
        <v>1710440.3724332915</v>
      </c>
      <c r="M27" s="431">
        <f t="shared" si="1"/>
        <v>1671584.474964832</v>
      </c>
      <c r="N27" s="431">
        <f t="shared" si="1"/>
        <v>1678220.787426722</v>
      </c>
      <c r="O27" s="431">
        <f t="shared" si="1"/>
        <v>20610000.000000004</v>
      </c>
    </row>
    <row r="28" spans="1:15" x14ac:dyDescent="0.2">
      <c r="A28" s="631" t="s">
        <v>351</v>
      </c>
      <c r="B28" s="627"/>
      <c r="C28" s="627"/>
      <c r="D28" s="627"/>
      <c r="E28" s="627"/>
      <c r="F28" s="627"/>
      <c r="G28" s="627"/>
      <c r="H28" s="627"/>
      <c r="I28" s="627"/>
      <c r="J28" s="627"/>
      <c r="K28" s="627"/>
      <c r="L28" s="627"/>
      <c r="M28" s="627"/>
      <c r="N28" s="627"/>
      <c r="O28" s="627"/>
    </row>
    <row r="29" spans="1:15" x14ac:dyDescent="0.2">
      <c r="A29" s="626"/>
      <c r="B29" s="628"/>
      <c r="C29" s="628"/>
      <c r="D29" s="628"/>
      <c r="E29" s="628"/>
      <c r="F29" s="628"/>
      <c r="G29" s="628"/>
      <c r="H29" s="628"/>
      <c r="I29" s="628"/>
      <c r="J29" s="628"/>
      <c r="K29" s="628"/>
      <c r="L29" s="628"/>
      <c r="M29" s="628"/>
      <c r="N29" s="628"/>
      <c r="O29" s="628"/>
    </row>
    <row r="30" spans="1:15" x14ac:dyDescent="0.2">
      <c r="A30" s="629" t="s">
        <v>352</v>
      </c>
      <c r="B30" s="630"/>
      <c r="C30" s="630"/>
      <c r="D30" s="630"/>
      <c r="E30" s="630"/>
      <c r="F30" s="630"/>
      <c r="G30" s="630"/>
      <c r="H30" s="630"/>
      <c r="I30" s="630"/>
      <c r="J30" s="630"/>
      <c r="K30" s="630"/>
      <c r="L30" s="630"/>
      <c r="M30" s="630"/>
      <c r="N30" s="630"/>
      <c r="O30" s="630"/>
    </row>
    <row r="31" spans="1:15" ht="27" customHeight="1" x14ac:dyDescent="0.2">
      <c r="A31" s="802" t="s">
        <v>353</v>
      </c>
      <c r="B31" s="803"/>
      <c r="C31" s="803"/>
      <c r="D31" s="803"/>
      <c r="E31" s="803"/>
      <c r="F31" s="803"/>
      <c r="G31" s="803"/>
      <c r="H31" s="803"/>
      <c r="I31" s="803"/>
      <c r="J31" s="803"/>
      <c r="K31" s="803"/>
      <c r="L31" s="803"/>
      <c r="M31" s="803"/>
      <c r="N31" s="803"/>
      <c r="O31" s="803"/>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00"/>
  <sheetViews>
    <sheetView topLeftCell="A4" zoomScale="74" zoomScaleNormal="74" workbookViewId="0">
      <selection activeCell="Q48" sqref="Q48"/>
    </sheetView>
  </sheetViews>
  <sheetFormatPr baseColWidth="10" defaultRowHeight="15" x14ac:dyDescent="0.25"/>
  <cols>
    <col min="1" max="1" width="12.140625" customWidth="1"/>
    <col min="2" max="2" width="7.140625" style="225"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2" customWidth="1"/>
    <col min="10" max="10" width="13.42578125" style="12" customWidth="1"/>
    <col min="11" max="12" width="17.85546875" customWidth="1"/>
    <col min="13" max="13" width="15.7109375" bestFit="1" customWidth="1"/>
    <col min="14" max="16" width="12.85546875" bestFit="1" customWidth="1"/>
    <col min="19" max="19" width="12.85546875" bestFit="1" customWidth="1"/>
  </cols>
  <sheetData>
    <row r="2" spans="2:16" x14ac:dyDescent="0.25">
      <c r="C2" s="11"/>
      <c r="D2" s="11"/>
      <c r="E2" s="11"/>
      <c r="F2" s="11"/>
      <c r="G2" s="11"/>
      <c r="H2" s="11"/>
      <c r="K2" s="223" t="s">
        <v>186</v>
      </c>
    </row>
    <row r="3" spans="2:16" x14ac:dyDescent="0.25">
      <c r="C3" s="11"/>
      <c r="D3" s="11"/>
      <c r="E3" s="11"/>
      <c r="F3" s="11"/>
      <c r="G3" s="11"/>
      <c r="H3" s="11"/>
      <c r="I3" s="79"/>
      <c r="J3" s="79"/>
    </row>
    <row r="4" spans="2:16" ht="15.75" thickBot="1" x14ac:dyDescent="0.3">
      <c r="C4" s="727" t="s">
        <v>187</v>
      </c>
      <c r="D4" s="727"/>
      <c r="E4" s="727"/>
      <c r="F4" s="727"/>
      <c r="G4" s="727"/>
      <c r="H4" s="727"/>
      <c r="I4" s="727"/>
      <c r="J4" s="727"/>
      <c r="K4" s="727"/>
    </row>
    <row r="5" spans="2:16" x14ac:dyDescent="0.25">
      <c r="B5" s="809" t="s">
        <v>188</v>
      </c>
      <c r="C5" s="810"/>
      <c r="D5" s="810"/>
      <c r="E5" s="810"/>
      <c r="F5" s="810"/>
      <c r="G5" s="810"/>
      <c r="H5" s="810"/>
      <c r="I5" s="810"/>
      <c r="J5" s="810"/>
      <c r="K5" s="811"/>
    </row>
    <row r="6" spans="2:16" ht="15.75" thickBot="1" x14ac:dyDescent="0.3">
      <c r="B6" s="812" t="s">
        <v>189</v>
      </c>
      <c r="C6" s="813"/>
      <c r="D6" s="813"/>
      <c r="E6" s="813"/>
      <c r="F6" s="813"/>
      <c r="G6" s="813"/>
      <c r="H6" s="814"/>
      <c r="I6" s="226"/>
      <c r="J6" s="227"/>
      <c r="K6" s="228" t="s">
        <v>27</v>
      </c>
    </row>
    <row r="7" spans="2:16" x14ac:dyDescent="0.25">
      <c r="B7" s="229"/>
      <c r="C7" s="152"/>
      <c r="D7" s="230"/>
      <c r="E7" s="230"/>
      <c r="F7" s="231"/>
      <c r="G7" s="232"/>
      <c r="H7" s="233"/>
      <c r="I7" s="234"/>
      <c r="J7" s="235"/>
      <c r="K7" s="233"/>
    </row>
    <row r="8" spans="2:16" x14ac:dyDescent="0.25">
      <c r="B8" s="236"/>
      <c r="C8" s="815" t="s">
        <v>190</v>
      </c>
      <c r="D8" s="816"/>
      <c r="E8" s="816"/>
      <c r="F8" s="816"/>
      <c r="G8" s="816"/>
      <c r="H8" s="817"/>
      <c r="I8" s="237"/>
      <c r="J8" s="238"/>
      <c r="K8" s="239"/>
      <c r="L8" s="6"/>
    </row>
    <row r="9" spans="2:16" x14ac:dyDescent="0.25">
      <c r="B9" s="236">
        <v>1</v>
      </c>
      <c r="C9" s="804" t="s">
        <v>191</v>
      </c>
      <c r="D9" s="805"/>
      <c r="E9" s="805"/>
      <c r="F9" s="805"/>
      <c r="G9" s="805"/>
      <c r="H9" s="806"/>
      <c r="I9" s="237"/>
      <c r="J9" s="238"/>
      <c r="K9" s="277">
        <v>6568700000</v>
      </c>
      <c r="L9" s="241"/>
      <c r="M9" s="242"/>
      <c r="N9" s="242"/>
      <c r="O9" s="242"/>
      <c r="P9" s="242"/>
    </row>
    <row r="10" spans="2:16" x14ac:dyDescent="0.25">
      <c r="B10" s="236">
        <v>2</v>
      </c>
      <c r="C10" s="804" t="s">
        <v>192</v>
      </c>
      <c r="D10" s="805"/>
      <c r="E10" s="805"/>
      <c r="F10" s="805"/>
      <c r="G10" s="805"/>
      <c r="H10" s="806"/>
      <c r="I10" s="807">
        <v>4340124516</v>
      </c>
      <c r="J10" s="808"/>
      <c r="K10" s="808"/>
      <c r="L10" s="6"/>
    </row>
    <row r="11" spans="2:16" x14ac:dyDescent="0.25">
      <c r="B11" s="236">
        <v>3</v>
      </c>
      <c r="C11" s="243" t="s">
        <v>193</v>
      </c>
      <c r="D11" s="241"/>
      <c r="E11" s="241"/>
      <c r="F11" s="241"/>
      <c r="G11" s="241"/>
      <c r="H11" s="244"/>
      <c r="I11" s="245"/>
      <c r="J11" s="246"/>
      <c r="K11" s="240">
        <f>K9-I10</f>
        <v>2228575484</v>
      </c>
      <c r="L11" s="6"/>
    </row>
    <row r="12" spans="2:16" x14ac:dyDescent="0.25">
      <c r="B12" s="236">
        <v>3</v>
      </c>
      <c r="C12" s="804" t="s">
        <v>194</v>
      </c>
      <c r="D12" s="805"/>
      <c r="E12" s="805"/>
      <c r="F12" s="805"/>
      <c r="G12" s="805"/>
      <c r="H12" s="806"/>
      <c r="I12" s="807">
        <f>K11*22.5%</f>
        <v>501429483.90000004</v>
      </c>
      <c r="J12" s="808"/>
      <c r="K12" s="818"/>
      <c r="L12" s="6"/>
    </row>
    <row r="13" spans="2:16" x14ac:dyDescent="0.25">
      <c r="B13" s="236">
        <v>4</v>
      </c>
      <c r="C13" s="804" t="s">
        <v>195</v>
      </c>
      <c r="D13" s="805"/>
      <c r="E13" s="805"/>
      <c r="F13" s="805"/>
      <c r="G13" s="805"/>
      <c r="H13" s="806"/>
      <c r="I13" s="807">
        <f>I10*22.5%</f>
        <v>976528016.10000002</v>
      </c>
      <c r="J13" s="808"/>
      <c r="K13" s="818"/>
      <c r="L13" s="6"/>
    </row>
    <row r="14" spans="2:16" x14ac:dyDescent="0.25">
      <c r="B14" s="236">
        <v>5</v>
      </c>
      <c r="C14" s="804" t="s">
        <v>295</v>
      </c>
      <c r="D14" s="805"/>
      <c r="E14" s="805"/>
      <c r="F14" s="805"/>
      <c r="G14" s="805"/>
      <c r="H14" s="806"/>
      <c r="I14" s="819"/>
      <c r="J14" s="820"/>
      <c r="K14" s="821"/>
      <c r="L14" s="6"/>
    </row>
    <row r="15" spans="2:16" x14ac:dyDescent="0.25">
      <c r="B15" s="236"/>
      <c r="C15" s="804" t="s">
        <v>250</v>
      </c>
      <c r="D15" s="805"/>
      <c r="E15" s="805"/>
      <c r="F15" s="805"/>
      <c r="G15" s="805"/>
      <c r="H15" s="806"/>
      <c r="I15" s="807">
        <f>I12*60%</f>
        <v>300857690.34000003</v>
      </c>
      <c r="J15" s="808"/>
      <c r="K15" s="818"/>
      <c r="L15" s="6"/>
    </row>
    <row r="16" spans="2:16" ht="15.75" thickBot="1" x14ac:dyDescent="0.3">
      <c r="B16" s="236"/>
      <c r="C16" s="804" t="s">
        <v>251</v>
      </c>
      <c r="D16" s="805"/>
      <c r="E16" s="805"/>
      <c r="F16" s="805"/>
      <c r="G16" s="805"/>
      <c r="H16" s="806"/>
      <c r="I16" s="807">
        <f>I12*30%</f>
        <v>150428845.17000002</v>
      </c>
      <c r="J16" s="808"/>
      <c r="K16" s="818"/>
      <c r="L16" s="6"/>
    </row>
    <row r="17" spans="2:12" ht="15.75" thickBot="1" x14ac:dyDescent="0.3">
      <c r="B17" s="236"/>
      <c r="C17" s="822" t="s">
        <v>252</v>
      </c>
      <c r="D17" s="823"/>
      <c r="E17" s="823"/>
      <c r="F17" s="823"/>
      <c r="G17" s="823"/>
      <c r="H17" s="824"/>
      <c r="I17" s="825">
        <f>I12*10%</f>
        <v>50142948.390000008</v>
      </c>
      <c r="J17" s="826"/>
      <c r="K17" s="827"/>
      <c r="L17" s="6"/>
    </row>
    <row r="18" spans="2:12" ht="15.75" thickBot="1" x14ac:dyDescent="0.3">
      <c r="B18" s="236"/>
      <c r="C18" s="804" t="s">
        <v>196</v>
      </c>
      <c r="D18" s="805"/>
      <c r="E18" s="805"/>
      <c r="F18" s="805"/>
      <c r="G18" s="805"/>
      <c r="H18" s="806"/>
      <c r="I18" s="247">
        <f>SUM(I15:I17)</f>
        <v>501429483.90000004</v>
      </c>
      <c r="J18" s="248"/>
      <c r="K18" s="240">
        <f>SUM(I18)</f>
        <v>501429483.90000004</v>
      </c>
      <c r="L18" s="132"/>
    </row>
    <row r="19" spans="2:12" ht="15.75" thickBot="1" x14ac:dyDescent="0.3">
      <c r="B19" s="249">
        <v>6</v>
      </c>
      <c r="C19" s="830" t="s">
        <v>249</v>
      </c>
      <c r="D19" s="831"/>
      <c r="E19" s="831"/>
      <c r="F19" s="831"/>
      <c r="G19" s="831"/>
      <c r="H19" s="832"/>
      <c r="I19" s="833">
        <f>I12+I13</f>
        <v>1477957500</v>
      </c>
      <c r="J19" s="834"/>
      <c r="K19" s="835"/>
      <c r="L19" s="6"/>
    </row>
    <row r="20" spans="2:12" x14ac:dyDescent="0.25">
      <c r="B20" s="250"/>
      <c r="C20" s="805"/>
      <c r="D20" s="805"/>
      <c r="E20" s="805"/>
      <c r="F20" s="805"/>
      <c r="G20" s="805"/>
      <c r="H20" s="805"/>
      <c r="I20" s="836"/>
      <c r="J20" s="820"/>
      <c r="K20" s="837"/>
      <c r="L20" s="6"/>
    </row>
    <row r="21" spans="2:12" x14ac:dyDescent="0.25">
      <c r="B21" s="250"/>
      <c r="C21" s="816" t="s">
        <v>197</v>
      </c>
      <c r="D21" s="816"/>
      <c r="E21" s="816"/>
      <c r="F21" s="816"/>
      <c r="G21" s="816"/>
      <c r="H21" s="816"/>
      <c r="I21" s="838"/>
      <c r="J21" s="808"/>
      <c r="K21" s="839"/>
      <c r="L21" s="6"/>
    </row>
    <row r="22" spans="2:12" x14ac:dyDescent="0.25">
      <c r="B22" s="250">
        <v>7</v>
      </c>
      <c r="C22" s="805" t="s">
        <v>198</v>
      </c>
      <c r="D22" s="805"/>
      <c r="E22" s="805"/>
      <c r="F22" s="805"/>
      <c r="G22" s="805"/>
      <c r="H22" s="805"/>
      <c r="I22" s="251"/>
      <c r="J22" s="246"/>
      <c r="K22" s="276">
        <v>544200000</v>
      </c>
      <c r="L22" s="6"/>
    </row>
    <row r="23" spans="2:12" x14ac:dyDescent="0.25">
      <c r="B23" s="250">
        <v>8</v>
      </c>
      <c r="C23" s="805" t="s">
        <v>199</v>
      </c>
      <c r="D23" s="805"/>
      <c r="E23" s="805"/>
      <c r="F23" s="805"/>
      <c r="G23" s="805"/>
      <c r="H23" s="805"/>
      <c r="I23" s="251"/>
      <c r="J23" s="246"/>
      <c r="K23" s="252">
        <v>432473544</v>
      </c>
      <c r="L23" s="6"/>
    </row>
    <row r="24" spans="2:12" x14ac:dyDescent="0.25">
      <c r="B24" s="250">
        <v>9</v>
      </c>
      <c r="C24" s="241" t="s">
        <v>200</v>
      </c>
      <c r="D24" s="241"/>
      <c r="E24" s="241"/>
      <c r="F24" s="241"/>
      <c r="G24" s="241"/>
      <c r="H24" s="241"/>
      <c r="I24" s="251"/>
      <c r="J24" s="246"/>
      <c r="K24" s="252">
        <f>K22-K23</f>
        <v>111726456</v>
      </c>
      <c r="L24" s="6"/>
    </row>
    <row r="25" spans="2:12" x14ac:dyDescent="0.25">
      <c r="B25" s="250">
        <v>10</v>
      </c>
      <c r="C25" s="805" t="s">
        <v>201</v>
      </c>
      <c r="D25" s="805"/>
      <c r="E25" s="805"/>
      <c r="F25" s="805"/>
      <c r="G25" s="805"/>
      <c r="H25" s="805"/>
      <c r="I25" s="251"/>
      <c r="J25" s="246"/>
      <c r="K25" s="252">
        <f>K24</f>
        <v>111726456</v>
      </c>
      <c r="L25" s="6"/>
    </row>
    <row r="26" spans="2:12" x14ac:dyDescent="0.25">
      <c r="B26" s="250"/>
      <c r="C26" s="828" t="s">
        <v>202</v>
      </c>
      <c r="D26" s="805"/>
      <c r="E26" s="805"/>
      <c r="F26" s="805"/>
      <c r="G26" s="805"/>
      <c r="H26" s="829"/>
      <c r="I26" s="251"/>
      <c r="J26" s="246"/>
      <c r="K26" s="252">
        <f>K25*60%</f>
        <v>67035873.599999994</v>
      </c>
      <c r="L26" s="6"/>
    </row>
    <row r="27" spans="2:12" x14ac:dyDescent="0.25">
      <c r="B27" s="250"/>
      <c r="C27" s="828" t="s">
        <v>203</v>
      </c>
      <c r="D27" s="805"/>
      <c r="E27" s="805"/>
      <c r="F27" s="805"/>
      <c r="G27" s="805"/>
      <c r="H27" s="829"/>
      <c r="I27" s="251"/>
      <c r="J27" s="246"/>
      <c r="K27" s="252">
        <f>K25*30%</f>
        <v>33517936.799999997</v>
      </c>
      <c r="L27" s="6"/>
    </row>
    <row r="28" spans="2:12" x14ac:dyDescent="0.25">
      <c r="B28" s="250"/>
      <c r="C28" s="828" t="s">
        <v>204</v>
      </c>
      <c r="D28" s="805"/>
      <c r="E28" s="805"/>
      <c r="F28" s="805"/>
      <c r="G28" s="805"/>
      <c r="H28" s="829"/>
      <c r="I28" s="251"/>
      <c r="J28" s="246"/>
      <c r="K28" s="252">
        <f>K25*10%</f>
        <v>11172645.600000001</v>
      </c>
      <c r="L28" s="6"/>
    </row>
    <row r="29" spans="2:12" x14ac:dyDescent="0.25">
      <c r="B29" s="250"/>
      <c r="C29" s="805" t="s">
        <v>205</v>
      </c>
      <c r="D29" s="805"/>
      <c r="E29" s="805"/>
      <c r="F29" s="805"/>
      <c r="G29" s="805"/>
      <c r="H29" s="805"/>
      <c r="I29" s="251"/>
      <c r="J29" s="246"/>
      <c r="K29" s="252">
        <f>K26+K27+K28</f>
        <v>111726456</v>
      </c>
      <c r="L29" s="6"/>
    </row>
    <row r="30" spans="2:12" x14ac:dyDescent="0.25">
      <c r="B30" s="250">
        <v>8</v>
      </c>
      <c r="C30" s="816" t="s">
        <v>206</v>
      </c>
      <c r="D30" s="816"/>
      <c r="E30" s="816"/>
      <c r="F30" s="816"/>
      <c r="G30" s="816"/>
      <c r="H30" s="816"/>
      <c r="I30" s="251"/>
      <c r="J30" s="246"/>
      <c r="K30" s="253">
        <f>K23+K24</f>
        <v>544200000</v>
      </c>
      <c r="L30" s="6"/>
    </row>
    <row r="31" spans="2:12" x14ac:dyDescent="0.25">
      <c r="B31" s="250"/>
      <c r="C31" s="222"/>
      <c r="D31" s="151"/>
      <c r="E31" s="151"/>
      <c r="F31" s="151"/>
      <c r="G31" s="151"/>
      <c r="H31" s="176"/>
      <c r="I31" s="251"/>
      <c r="J31" s="246"/>
      <c r="K31" s="254"/>
      <c r="L31" s="6"/>
    </row>
    <row r="32" spans="2:12" x14ac:dyDescent="0.25">
      <c r="B32" s="250"/>
      <c r="C32" s="840" t="s">
        <v>207</v>
      </c>
      <c r="D32" s="816"/>
      <c r="E32" s="816"/>
      <c r="F32" s="816"/>
      <c r="G32" s="816"/>
      <c r="H32" s="841"/>
      <c r="I32" s="251"/>
      <c r="J32" s="246"/>
      <c r="K32" s="254"/>
      <c r="L32" s="6"/>
    </row>
    <row r="33" spans="2:13" x14ac:dyDescent="0.25">
      <c r="B33" s="250">
        <v>9</v>
      </c>
      <c r="C33" s="805" t="s">
        <v>208</v>
      </c>
      <c r="D33" s="805"/>
      <c r="E33" s="805"/>
      <c r="F33" s="805"/>
      <c r="G33" s="805"/>
      <c r="H33" s="805"/>
      <c r="I33" s="251"/>
      <c r="J33" s="246"/>
      <c r="K33" s="276">
        <v>79312500</v>
      </c>
      <c r="L33" s="132">
        <f>K33*22.5%</f>
        <v>17845312.5</v>
      </c>
    </row>
    <row r="34" spans="2:13" x14ac:dyDescent="0.25">
      <c r="B34" s="250">
        <v>10</v>
      </c>
      <c r="C34" s="805" t="s">
        <v>209</v>
      </c>
      <c r="D34" s="805"/>
      <c r="E34" s="805"/>
      <c r="F34" s="805"/>
      <c r="G34" s="805"/>
      <c r="H34" s="805"/>
      <c r="I34" s="251"/>
      <c r="J34" s="246"/>
      <c r="K34" s="252">
        <v>44079525</v>
      </c>
      <c r="L34" s="132">
        <f>K34*0.225</f>
        <v>9917893.125</v>
      </c>
    </row>
    <row r="35" spans="2:13" x14ac:dyDescent="0.25">
      <c r="B35" s="250">
        <v>11</v>
      </c>
      <c r="C35" s="241" t="s">
        <v>210</v>
      </c>
      <c r="D35" s="241"/>
      <c r="E35" s="241"/>
      <c r="F35" s="241"/>
      <c r="G35" s="241"/>
      <c r="H35" s="241"/>
      <c r="I35" s="251"/>
      <c r="J35" s="246"/>
      <c r="K35" s="253">
        <f>K33-K34</f>
        <v>35232975</v>
      </c>
      <c r="L35" s="132">
        <f>K35*22.5%</f>
        <v>7927419.375</v>
      </c>
    </row>
    <row r="36" spans="2:13" x14ac:dyDescent="0.25">
      <c r="B36" s="250"/>
      <c r="C36" s="222"/>
      <c r="D36" s="151"/>
      <c r="E36" s="151"/>
      <c r="F36" s="151"/>
      <c r="G36" s="151"/>
      <c r="H36" s="176"/>
      <c r="I36" s="251"/>
      <c r="J36" s="246"/>
      <c r="K36" s="254"/>
      <c r="L36" s="6"/>
    </row>
    <row r="37" spans="2:13" x14ac:dyDescent="0.25">
      <c r="B37" s="250"/>
      <c r="C37" s="840" t="s">
        <v>211</v>
      </c>
      <c r="D37" s="816"/>
      <c r="E37" s="816"/>
      <c r="F37" s="816"/>
      <c r="G37" s="816"/>
      <c r="H37" s="841"/>
      <c r="I37" s="836"/>
      <c r="J37" s="820"/>
      <c r="K37" s="837"/>
      <c r="L37" s="6"/>
    </row>
    <row r="38" spans="2:13" x14ac:dyDescent="0.25">
      <c r="B38" s="250">
        <v>12</v>
      </c>
      <c r="C38" s="805" t="s">
        <v>212</v>
      </c>
      <c r="D38" s="805"/>
      <c r="E38" s="805"/>
      <c r="F38" s="805"/>
      <c r="G38" s="805"/>
      <c r="H38" s="805"/>
      <c r="I38" s="838">
        <v>0</v>
      </c>
      <c r="J38" s="808"/>
      <c r="K38" s="837"/>
      <c r="L38" s="132">
        <f>I38*22.5%</f>
        <v>0</v>
      </c>
    </row>
    <row r="39" spans="2:13" x14ac:dyDescent="0.25">
      <c r="B39" s="250">
        <v>13</v>
      </c>
      <c r="C39" s="805" t="s">
        <v>209</v>
      </c>
      <c r="D39" s="805"/>
      <c r="E39" s="805"/>
      <c r="F39" s="805"/>
      <c r="G39" s="805"/>
      <c r="H39" s="805"/>
      <c r="I39" s="251"/>
      <c r="J39" s="246"/>
      <c r="K39" s="252">
        <v>75894975</v>
      </c>
      <c r="L39" s="132">
        <f>K39*22.5%</f>
        <v>17076369.375</v>
      </c>
      <c r="M39" s="126"/>
    </row>
    <row r="40" spans="2:13" x14ac:dyDescent="0.25">
      <c r="B40" s="250">
        <v>14</v>
      </c>
      <c r="C40" s="241" t="s">
        <v>253</v>
      </c>
      <c r="D40" s="241"/>
      <c r="E40" s="241"/>
      <c r="F40" s="241"/>
      <c r="G40" s="241"/>
      <c r="H40" s="241"/>
      <c r="I40" s="251"/>
      <c r="J40" s="246"/>
      <c r="K40" s="253">
        <f>I38-K39</f>
        <v>-75894975</v>
      </c>
      <c r="L40" s="132">
        <f>K40*22.5%</f>
        <v>-17076369.375</v>
      </c>
      <c r="M40" s="126"/>
    </row>
    <row r="41" spans="2:13" x14ac:dyDescent="0.25">
      <c r="B41" s="250"/>
      <c r="C41" s="241"/>
      <c r="D41" s="241"/>
      <c r="E41" s="241"/>
      <c r="F41" s="241"/>
      <c r="G41" s="241"/>
      <c r="H41" s="241"/>
      <c r="I41" s="251"/>
      <c r="J41" s="246"/>
      <c r="K41" s="254"/>
      <c r="L41" s="132"/>
      <c r="M41" s="126"/>
    </row>
    <row r="42" spans="2:13" x14ac:dyDescent="0.25">
      <c r="B42" s="250"/>
      <c r="C42" s="840" t="s">
        <v>213</v>
      </c>
      <c r="D42" s="816"/>
      <c r="E42" s="816"/>
      <c r="F42" s="816"/>
      <c r="G42" s="816"/>
      <c r="H42" s="841"/>
      <c r="I42" s="836"/>
      <c r="J42" s="820"/>
      <c r="K42" s="837"/>
      <c r="L42" s="6"/>
    </row>
    <row r="43" spans="2:13" x14ac:dyDescent="0.25">
      <c r="B43" s="250">
        <v>15</v>
      </c>
      <c r="C43" s="805" t="s">
        <v>214</v>
      </c>
      <c r="D43" s="805"/>
      <c r="E43" s="805"/>
      <c r="F43" s="805"/>
      <c r="G43" s="805"/>
      <c r="H43" s="805"/>
      <c r="I43" s="838">
        <v>143325000</v>
      </c>
      <c r="J43" s="808"/>
      <c r="K43" s="837"/>
      <c r="L43" s="6"/>
    </row>
    <row r="44" spans="2:13" x14ac:dyDescent="0.25">
      <c r="B44" s="250">
        <v>16</v>
      </c>
      <c r="C44" s="805" t="s">
        <v>215</v>
      </c>
      <c r="D44" s="805"/>
      <c r="E44" s="805"/>
      <c r="F44" s="805"/>
      <c r="G44" s="805"/>
      <c r="H44" s="805"/>
      <c r="I44" s="251"/>
      <c r="J44" s="246"/>
      <c r="K44" s="252">
        <v>0</v>
      </c>
      <c r="L44" s="6"/>
    </row>
    <row r="45" spans="2:13" x14ac:dyDescent="0.25">
      <c r="B45" s="250">
        <v>17</v>
      </c>
      <c r="C45" s="241" t="s">
        <v>254</v>
      </c>
      <c r="D45" s="241"/>
      <c r="E45" s="241"/>
      <c r="F45" s="241"/>
      <c r="G45" s="241"/>
      <c r="H45" s="241"/>
      <c r="I45" s="251"/>
      <c r="J45" s="246"/>
      <c r="K45" s="253">
        <f>I43-K44</f>
        <v>143325000</v>
      </c>
      <c r="L45" s="6"/>
    </row>
    <row r="46" spans="2:13" x14ac:dyDescent="0.25">
      <c r="B46" s="250"/>
      <c r="C46" s="241"/>
      <c r="D46" s="241"/>
      <c r="E46" s="241"/>
      <c r="F46" s="241"/>
      <c r="G46" s="241"/>
      <c r="H46" s="241"/>
      <c r="I46" s="251"/>
      <c r="J46" s="246"/>
      <c r="K46" s="254"/>
      <c r="L46" s="6"/>
    </row>
    <row r="47" spans="2:13" x14ac:dyDescent="0.25">
      <c r="B47" s="250"/>
      <c r="C47" s="840" t="s">
        <v>216</v>
      </c>
      <c r="D47" s="816"/>
      <c r="E47" s="816"/>
      <c r="F47" s="816"/>
      <c r="G47" s="816"/>
      <c r="H47" s="841"/>
      <c r="I47" s="251"/>
      <c r="J47" s="246"/>
      <c r="K47" s="254"/>
      <c r="L47" s="6"/>
    </row>
    <row r="48" spans="2:13" x14ac:dyDescent="0.25">
      <c r="B48" s="250">
        <v>18</v>
      </c>
      <c r="C48" s="805" t="s">
        <v>217</v>
      </c>
      <c r="D48" s="805"/>
      <c r="E48" s="805"/>
      <c r="F48" s="805"/>
      <c r="G48" s="805"/>
      <c r="H48" s="805"/>
      <c r="I48" s="251"/>
      <c r="J48" s="246"/>
      <c r="K48" s="276">
        <v>32175000</v>
      </c>
      <c r="L48" s="132">
        <f>K48*0.225</f>
        <v>7239375</v>
      </c>
    </row>
    <row r="49" spans="2:15" x14ac:dyDescent="0.25">
      <c r="B49" s="250">
        <v>19</v>
      </c>
      <c r="C49" s="805" t="s">
        <v>218</v>
      </c>
      <c r="D49" s="805"/>
      <c r="E49" s="805"/>
      <c r="F49" s="805"/>
      <c r="G49" s="805"/>
      <c r="H49" s="805"/>
      <c r="I49" s="251"/>
      <c r="J49" s="246"/>
      <c r="K49" s="252">
        <v>20610000</v>
      </c>
      <c r="L49" s="132">
        <f>K49*0.225</f>
        <v>4637250</v>
      </c>
    </row>
    <row r="50" spans="2:15" x14ac:dyDescent="0.25">
      <c r="B50" s="250">
        <v>20</v>
      </c>
      <c r="C50" s="241" t="s">
        <v>219</v>
      </c>
      <c r="D50" s="241"/>
      <c r="E50" s="241"/>
      <c r="F50" s="241"/>
      <c r="G50" s="241"/>
      <c r="H50" s="241"/>
      <c r="I50" s="251"/>
      <c r="J50" s="246"/>
      <c r="K50" s="253">
        <f>K48-K49</f>
        <v>11565000</v>
      </c>
      <c r="L50" s="132">
        <f>K50*0.225</f>
        <v>2602125</v>
      </c>
    </row>
    <row r="51" spans="2:15" x14ac:dyDescent="0.25">
      <c r="B51" s="250"/>
      <c r="C51" s="222"/>
      <c r="D51" s="151"/>
      <c r="E51" s="151"/>
      <c r="F51" s="151"/>
      <c r="G51" s="151"/>
      <c r="H51" s="176"/>
      <c r="I51" s="251"/>
      <c r="J51" s="246"/>
      <c r="K51" s="254"/>
      <c r="L51" s="132"/>
    </row>
    <row r="52" spans="2:15" x14ac:dyDescent="0.25">
      <c r="B52" s="255"/>
      <c r="C52" s="840" t="s">
        <v>220</v>
      </c>
      <c r="D52" s="816"/>
      <c r="E52" s="816"/>
      <c r="F52" s="816"/>
      <c r="G52" s="816"/>
      <c r="H52" s="841"/>
      <c r="I52" s="251"/>
      <c r="J52" s="246"/>
      <c r="K52" s="254"/>
      <c r="L52" s="6"/>
    </row>
    <row r="53" spans="2:15" x14ac:dyDescent="0.25">
      <c r="B53" s="255">
        <v>21</v>
      </c>
      <c r="C53" s="805" t="s">
        <v>221</v>
      </c>
      <c r="D53" s="805"/>
      <c r="E53" s="805"/>
      <c r="F53" s="805"/>
      <c r="G53" s="805"/>
      <c r="H53" s="805"/>
      <c r="I53" s="251"/>
      <c r="J53" s="246"/>
      <c r="K53" s="276">
        <v>53370000</v>
      </c>
      <c r="L53" s="132">
        <f>K53*0.225</f>
        <v>12008250</v>
      </c>
    </row>
    <row r="54" spans="2:15" x14ac:dyDescent="0.25">
      <c r="B54" s="255">
        <v>22</v>
      </c>
      <c r="C54" s="805" t="s">
        <v>218</v>
      </c>
      <c r="D54" s="805"/>
      <c r="E54" s="805"/>
      <c r="F54" s="805"/>
      <c r="G54" s="805"/>
      <c r="H54" s="805"/>
      <c r="I54" s="251"/>
      <c r="J54" s="246"/>
      <c r="K54" s="252">
        <v>38873250</v>
      </c>
      <c r="L54" s="132">
        <f>K54*0.225</f>
        <v>8746481.25</v>
      </c>
    </row>
    <row r="55" spans="2:15" x14ac:dyDescent="0.25">
      <c r="B55" s="255">
        <v>23</v>
      </c>
      <c r="C55" s="241" t="s">
        <v>222</v>
      </c>
      <c r="D55" s="241"/>
      <c r="E55" s="241"/>
      <c r="F55" s="241"/>
      <c r="G55" s="241"/>
      <c r="H55" s="241"/>
      <c r="I55" s="251"/>
      <c r="J55" s="246"/>
      <c r="K55" s="253">
        <f>K53-K54</f>
        <v>14496750</v>
      </c>
      <c r="L55" s="132">
        <f>K55*0.225</f>
        <v>3261768.75</v>
      </c>
    </row>
    <row r="56" spans="2:15" x14ac:dyDescent="0.25">
      <c r="B56" s="255"/>
      <c r="C56" s="241"/>
      <c r="D56" s="241"/>
      <c r="E56" s="241"/>
      <c r="F56" s="241"/>
      <c r="G56" s="241"/>
      <c r="H56" s="241"/>
      <c r="I56" s="251"/>
      <c r="J56" s="246"/>
      <c r="K56" s="254"/>
      <c r="L56" s="6"/>
      <c r="O56" s="256"/>
    </row>
    <row r="57" spans="2:15" x14ac:dyDescent="0.25">
      <c r="B57" s="250"/>
      <c r="C57" s="840" t="s">
        <v>223</v>
      </c>
      <c r="D57" s="816"/>
      <c r="E57" s="816"/>
      <c r="F57" s="816"/>
      <c r="G57" s="816"/>
      <c r="H57" s="841"/>
      <c r="I57" s="251"/>
      <c r="J57" s="246"/>
      <c r="K57" s="254"/>
      <c r="L57" s="132"/>
      <c r="O57" s="159"/>
    </row>
    <row r="58" spans="2:15" x14ac:dyDescent="0.25">
      <c r="B58" s="250">
        <v>24</v>
      </c>
      <c r="C58" s="805" t="s">
        <v>224</v>
      </c>
      <c r="D58" s="805"/>
      <c r="E58" s="805"/>
      <c r="F58" s="805"/>
      <c r="G58" s="805"/>
      <c r="H58" s="805"/>
      <c r="I58" s="251"/>
      <c r="J58" s="246"/>
      <c r="K58" s="276">
        <v>8190000</v>
      </c>
      <c r="L58" s="132">
        <f>K58*0.225</f>
        <v>1842750</v>
      </c>
      <c r="O58" s="257"/>
    </row>
    <row r="59" spans="2:15" x14ac:dyDescent="0.25">
      <c r="B59" s="250">
        <v>25</v>
      </c>
      <c r="C59" s="805" t="s">
        <v>225</v>
      </c>
      <c r="D59" s="805"/>
      <c r="E59" s="805"/>
      <c r="F59" s="805"/>
      <c r="G59" s="805"/>
      <c r="H59" s="805"/>
      <c r="I59" s="251"/>
      <c r="J59" s="246"/>
      <c r="K59" s="252"/>
      <c r="L59" s="132">
        <f>K59*0.225</f>
        <v>0</v>
      </c>
    </row>
    <row r="60" spans="2:15" x14ac:dyDescent="0.25">
      <c r="B60" s="250">
        <v>26</v>
      </c>
      <c r="C60" s="241" t="s">
        <v>226</v>
      </c>
      <c r="D60" s="241"/>
      <c r="E60" s="241"/>
      <c r="F60" s="241"/>
      <c r="G60" s="241"/>
      <c r="H60" s="241"/>
      <c r="I60" s="251"/>
      <c r="J60" s="246"/>
      <c r="K60" s="252">
        <f>K58-K59</f>
        <v>8190000</v>
      </c>
      <c r="L60" s="132">
        <f>K60*0.225</f>
        <v>1842750</v>
      </c>
    </row>
    <row r="61" spans="2:15" x14ac:dyDescent="0.25">
      <c r="B61" s="250"/>
      <c r="C61" s="258"/>
      <c r="D61" s="241"/>
      <c r="E61" s="241"/>
      <c r="F61" s="241"/>
      <c r="G61" s="241"/>
      <c r="H61" s="259"/>
      <c r="I61" s="251"/>
      <c r="J61" s="246"/>
      <c r="K61" s="254"/>
      <c r="L61" s="132"/>
    </row>
    <row r="62" spans="2:15" x14ac:dyDescent="0.25">
      <c r="B62" s="250"/>
      <c r="C62" s="840" t="s">
        <v>227</v>
      </c>
      <c r="D62" s="816"/>
      <c r="E62" s="816"/>
      <c r="F62" s="816"/>
      <c r="G62" s="816"/>
      <c r="H62" s="841"/>
      <c r="I62" s="251"/>
      <c r="J62" s="246"/>
      <c r="K62" s="254"/>
      <c r="L62" s="132"/>
    </row>
    <row r="63" spans="2:15" x14ac:dyDescent="0.25">
      <c r="B63" s="250">
        <v>27</v>
      </c>
      <c r="C63" s="805" t="s">
        <v>228</v>
      </c>
      <c r="D63" s="805"/>
      <c r="E63" s="805"/>
      <c r="F63" s="805"/>
      <c r="G63" s="805"/>
      <c r="H63" s="805"/>
      <c r="I63" s="251"/>
      <c r="J63" s="246"/>
      <c r="K63" s="276">
        <v>2295000</v>
      </c>
      <c r="L63" s="132">
        <f>K63*0.225</f>
        <v>516375</v>
      </c>
    </row>
    <row r="64" spans="2:15" x14ac:dyDescent="0.25">
      <c r="B64" s="250">
        <v>28</v>
      </c>
      <c r="C64" s="805" t="s">
        <v>229</v>
      </c>
      <c r="D64" s="805"/>
      <c r="E64" s="805"/>
      <c r="F64" s="805"/>
      <c r="G64" s="805"/>
      <c r="H64" s="805"/>
      <c r="I64" s="251"/>
      <c r="J64" s="246"/>
      <c r="K64" s="252"/>
      <c r="L64" s="6"/>
    </row>
    <row r="65" spans="2:21" x14ac:dyDescent="0.25">
      <c r="B65" s="250">
        <v>29</v>
      </c>
      <c r="C65" s="241" t="s">
        <v>230</v>
      </c>
      <c r="D65" s="241"/>
      <c r="E65" s="241"/>
      <c r="F65" s="241"/>
      <c r="G65" s="241"/>
      <c r="H65" s="241"/>
      <c r="I65" s="251"/>
      <c r="J65" s="246"/>
      <c r="K65" s="252"/>
      <c r="L65" s="6"/>
    </row>
    <row r="66" spans="2:21" x14ac:dyDescent="0.25">
      <c r="B66" s="250"/>
      <c r="C66" s="222"/>
      <c r="D66" s="151"/>
      <c r="E66" s="151"/>
      <c r="F66" s="151"/>
      <c r="G66" s="151"/>
      <c r="H66" s="176"/>
      <c r="I66" s="251"/>
      <c r="J66" s="246"/>
      <c r="K66" s="254"/>
      <c r="L66" s="6"/>
    </row>
    <row r="67" spans="2:21" x14ac:dyDescent="0.25">
      <c r="B67" s="260"/>
      <c r="C67" s="845" t="s">
        <v>73</v>
      </c>
      <c r="D67" s="846"/>
      <c r="E67" s="846"/>
      <c r="F67" s="846"/>
      <c r="G67" s="846"/>
      <c r="H67" s="847"/>
      <c r="I67" s="848"/>
      <c r="J67" s="849"/>
      <c r="K67" s="850"/>
      <c r="L67" s="6"/>
    </row>
    <row r="68" spans="2:21" x14ac:dyDescent="0.25">
      <c r="C68" s="104"/>
      <c r="D68" s="104"/>
      <c r="E68" s="104"/>
      <c r="F68" s="104"/>
      <c r="G68" s="104"/>
      <c r="H68" s="104"/>
      <c r="I68" s="105"/>
      <c r="J68" s="105"/>
      <c r="K68" s="6"/>
      <c r="L68" s="6"/>
    </row>
    <row r="69" spans="2:21" ht="15" customHeight="1" x14ac:dyDescent="0.25">
      <c r="C69" s="104" t="s">
        <v>231</v>
      </c>
      <c r="D69" s="104"/>
      <c r="E69" s="104"/>
      <c r="F69" s="104"/>
      <c r="G69" s="104"/>
      <c r="H69" s="104"/>
      <c r="I69" s="105"/>
      <c r="J69" s="105"/>
      <c r="K69" s="6"/>
      <c r="L69" s="6"/>
    </row>
    <row r="70" spans="2:21" ht="9.6" customHeight="1" x14ac:dyDescent="0.25"/>
    <row r="71" spans="2:21" ht="18" customHeight="1" x14ac:dyDescent="0.25"/>
    <row r="72" spans="2:21" ht="15" customHeight="1" x14ac:dyDescent="0.25">
      <c r="C72" s="851" t="s">
        <v>21</v>
      </c>
      <c r="D72" s="842">
        <v>2010</v>
      </c>
      <c r="E72" s="843"/>
      <c r="F72" s="844"/>
      <c r="G72" s="842">
        <v>2011</v>
      </c>
      <c r="H72" s="843"/>
      <c r="I72" s="844"/>
      <c r="J72" s="261"/>
      <c r="K72" s="842">
        <v>2016</v>
      </c>
      <c r="L72" s="843"/>
      <c r="M72" s="844"/>
      <c r="N72" s="842">
        <v>2017</v>
      </c>
      <c r="O72" s="843"/>
      <c r="P72" s="844"/>
      <c r="Q72" s="79"/>
      <c r="R72" s="738" t="s">
        <v>232</v>
      </c>
      <c r="S72" s="79"/>
    </row>
    <row r="73" spans="2:21" ht="15" customHeight="1" x14ac:dyDescent="0.25">
      <c r="C73" s="851"/>
      <c r="D73" s="224" t="s">
        <v>176</v>
      </c>
      <c r="E73" s="224" t="s">
        <v>177</v>
      </c>
      <c r="F73" s="224" t="s">
        <v>178</v>
      </c>
      <c r="G73" s="224" t="s">
        <v>176</v>
      </c>
      <c r="H73" s="224" t="s">
        <v>177</v>
      </c>
      <c r="I73" s="224" t="s">
        <v>178</v>
      </c>
      <c r="J73" s="224"/>
      <c r="K73" s="224" t="s">
        <v>176</v>
      </c>
      <c r="L73" s="224" t="s">
        <v>177</v>
      </c>
      <c r="M73" s="262" t="s">
        <v>178</v>
      </c>
      <c r="N73" s="224" t="s">
        <v>176</v>
      </c>
      <c r="O73" s="224" t="s">
        <v>177</v>
      </c>
      <c r="P73" s="262" t="s">
        <v>178</v>
      </c>
      <c r="Q73" s="79"/>
      <c r="R73" s="738"/>
      <c r="S73" s="79"/>
    </row>
    <row r="74" spans="2:21" ht="15" customHeight="1" x14ac:dyDescent="0.25">
      <c r="C74" s="52" t="s">
        <v>156</v>
      </c>
      <c r="D74" s="52">
        <v>1682502</v>
      </c>
      <c r="E74" s="263">
        <v>4238017</v>
      </c>
      <c r="F74" s="264">
        <f t="shared" ref="F74:F94" si="0">D74+E74</f>
        <v>5920519</v>
      </c>
      <c r="G74" s="52">
        <v>1970081.77</v>
      </c>
      <c r="H74" s="52">
        <v>4430528</v>
      </c>
      <c r="I74" s="264">
        <f t="shared" ref="I74:I94" si="1">G74+H74</f>
        <v>6400609.7699999996</v>
      </c>
      <c r="J74" s="265">
        <f>I74/F74</f>
        <v>1.0810893048396601</v>
      </c>
      <c r="K74" s="52">
        <v>2477398</v>
      </c>
      <c r="L74" s="52">
        <v>7110081</v>
      </c>
      <c r="M74" s="52">
        <f>SUM(K74:L74)</f>
        <v>9587479</v>
      </c>
      <c r="N74" s="52">
        <v>4600138</v>
      </c>
      <c r="O74" s="52">
        <v>6164575</v>
      </c>
      <c r="P74" s="264">
        <f>SUM(N74:O74)</f>
        <v>10764713</v>
      </c>
      <c r="R74" s="125">
        <f>P74/M74</f>
        <v>1.122788691375491</v>
      </c>
      <c r="S74" s="266"/>
      <c r="T74" s="125"/>
      <c r="U74" s="126"/>
    </row>
    <row r="75" spans="2:21" ht="15" customHeight="1" x14ac:dyDescent="0.25">
      <c r="C75" s="52" t="s">
        <v>157</v>
      </c>
      <c r="D75" s="52">
        <v>1426148</v>
      </c>
      <c r="E75" s="263">
        <v>1269045.2039224801</v>
      </c>
      <c r="F75" s="264">
        <f>D75+E75</f>
        <v>2695193.2039224803</v>
      </c>
      <c r="G75" s="52">
        <v>1509150</v>
      </c>
      <c r="H75" s="52">
        <v>1369030</v>
      </c>
      <c r="I75" s="264">
        <f>G75+H75</f>
        <v>2878180</v>
      </c>
      <c r="J75" s="265">
        <f t="shared" ref="J75:J93" si="2">I75/F75</f>
        <v>1.0678937583440058</v>
      </c>
      <c r="K75" s="52">
        <v>2240417</v>
      </c>
      <c r="L75" s="52">
        <v>1913057</v>
      </c>
      <c r="M75" s="52">
        <f t="shared" ref="M75:M93" si="3">SUM(K75:L75)</f>
        <v>4153474</v>
      </c>
      <c r="N75" s="52">
        <v>1868560</v>
      </c>
      <c r="O75" s="52">
        <v>4098808</v>
      </c>
      <c r="P75" s="264">
        <f>N75+O75</f>
        <v>5967368</v>
      </c>
      <c r="R75" s="125">
        <f t="shared" ref="R75:R93" si="4">P75/M75</f>
        <v>1.4367173118213814</v>
      </c>
      <c r="S75" s="266"/>
      <c r="T75" s="125"/>
      <c r="U75" s="126"/>
    </row>
    <row r="76" spans="2:21" ht="15" customHeight="1" x14ac:dyDescent="0.25">
      <c r="C76" s="52" t="s">
        <v>158</v>
      </c>
      <c r="D76" s="52">
        <v>2556102</v>
      </c>
      <c r="E76" s="263">
        <v>1591529</v>
      </c>
      <c r="F76" s="264">
        <f t="shared" si="0"/>
        <v>4147631</v>
      </c>
      <c r="G76" s="52">
        <v>1516908</v>
      </c>
      <c r="H76" s="52">
        <v>1406499</v>
      </c>
      <c r="I76" s="264">
        <f t="shared" si="1"/>
        <v>2923407</v>
      </c>
      <c r="J76" s="265">
        <f t="shared" si="2"/>
        <v>0.70483777365922862</v>
      </c>
      <c r="K76" s="52">
        <v>2030546</v>
      </c>
      <c r="L76" s="52">
        <v>1753984</v>
      </c>
      <c r="M76" s="52">
        <f t="shared" si="3"/>
        <v>3784530</v>
      </c>
      <c r="N76" s="52">
        <v>272482</v>
      </c>
      <c r="O76" s="52">
        <v>801471</v>
      </c>
      <c r="P76" s="264">
        <f t="shared" ref="P76:P93" si="5">N76+O76</f>
        <v>1073953</v>
      </c>
      <c r="R76" s="125">
        <f t="shared" si="4"/>
        <v>0.28377447133461753</v>
      </c>
      <c r="S76" s="266"/>
      <c r="T76" s="125"/>
      <c r="U76" s="126"/>
    </row>
    <row r="77" spans="2:21" ht="15" customHeight="1" x14ac:dyDescent="0.25">
      <c r="C77" s="52" t="s">
        <v>159</v>
      </c>
      <c r="D77" s="52">
        <v>78746014</v>
      </c>
      <c r="E77" s="263">
        <v>45839494.140000001</v>
      </c>
      <c r="F77" s="264">
        <f>D77+E77</f>
        <v>124585508.14</v>
      </c>
      <c r="G77" s="52">
        <v>78848903</v>
      </c>
      <c r="H77" s="52">
        <v>64656269</v>
      </c>
      <c r="I77" s="264">
        <f>G77+H77</f>
        <v>143505172</v>
      </c>
      <c r="J77" s="265">
        <f t="shared" si="2"/>
        <v>1.1518608716411822</v>
      </c>
      <c r="K77" s="52">
        <v>124077659</v>
      </c>
      <c r="L77" s="52">
        <v>90316627</v>
      </c>
      <c r="M77" s="52">
        <f t="shared" si="3"/>
        <v>214394286</v>
      </c>
      <c r="N77" s="52">
        <v>154339475</v>
      </c>
      <c r="O77" s="52">
        <v>114466230</v>
      </c>
      <c r="P77" s="264">
        <f>N77+O77</f>
        <v>268805705</v>
      </c>
      <c r="R77" s="125">
        <f t="shared" si="4"/>
        <v>1.2537913673688112</v>
      </c>
      <c r="S77" s="266"/>
      <c r="T77" s="125"/>
      <c r="U77" s="126"/>
    </row>
    <row r="78" spans="2:21" ht="15" customHeight="1" x14ac:dyDescent="0.25">
      <c r="C78" s="52" t="s">
        <v>160</v>
      </c>
      <c r="D78" s="52">
        <v>10223733</v>
      </c>
      <c r="E78" s="263">
        <v>19002626</v>
      </c>
      <c r="F78" s="264">
        <f t="shared" si="0"/>
        <v>29226359</v>
      </c>
      <c r="G78" s="52">
        <v>11239004</v>
      </c>
      <c r="H78" s="52">
        <v>19033512</v>
      </c>
      <c r="I78" s="264">
        <f t="shared" si="1"/>
        <v>30272516</v>
      </c>
      <c r="J78" s="265">
        <f t="shared" si="2"/>
        <v>1.0357949821939845</v>
      </c>
      <c r="K78" s="52">
        <v>13793249</v>
      </c>
      <c r="L78" s="52">
        <v>9341142</v>
      </c>
      <c r="M78" s="52">
        <f t="shared" si="3"/>
        <v>23134391</v>
      </c>
      <c r="N78" s="52">
        <v>15872814</v>
      </c>
      <c r="O78" s="52">
        <v>9610927</v>
      </c>
      <c r="P78" s="264">
        <f t="shared" si="5"/>
        <v>25483741</v>
      </c>
      <c r="R78" s="125">
        <f t="shared" si="4"/>
        <v>1.1015522734097474</v>
      </c>
      <c r="S78" s="266"/>
      <c r="T78" s="125"/>
      <c r="U78" s="126"/>
    </row>
    <row r="79" spans="2:21" ht="15" customHeight="1" x14ac:dyDescent="0.25">
      <c r="C79" s="52" t="s">
        <v>161</v>
      </c>
      <c r="D79" s="52">
        <v>15115</v>
      </c>
      <c r="E79" s="263">
        <v>747024.60800000001</v>
      </c>
      <c r="F79" s="264">
        <f>D79+E79</f>
        <v>762139.60800000001</v>
      </c>
      <c r="G79" s="52">
        <v>15047.65</v>
      </c>
      <c r="H79" s="52">
        <v>46822</v>
      </c>
      <c r="I79" s="264">
        <f>G79+H79</f>
        <v>61869.65</v>
      </c>
      <c r="J79" s="265">
        <f t="shared" si="2"/>
        <v>8.1178893408200878E-2</v>
      </c>
      <c r="K79" s="52">
        <v>24800</v>
      </c>
      <c r="L79" s="52">
        <v>262835</v>
      </c>
      <c r="M79" s="52">
        <f t="shared" si="3"/>
        <v>287635</v>
      </c>
      <c r="N79" s="52">
        <v>23315</v>
      </c>
      <c r="O79" s="52">
        <v>123172</v>
      </c>
      <c r="P79" s="264">
        <f>N79+O79</f>
        <v>146487</v>
      </c>
      <c r="R79" s="125">
        <f t="shared" si="4"/>
        <v>0.50928085942253198</v>
      </c>
      <c r="S79" s="266"/>
      <c r="T79" s="125"/>
      <c r="U79" s="126"/>
    </row>
    <row r="80" spans="2:21" ht="15" customHeight="1" x14ac:dyDescent="0.25">
      <c r="C80" s="52" t="s">
        <v>162</v>
      </c>
      <c r="D80" s="52">
        <v>39804</v>
      </c>
      <c r="E80" s="263">
        <v>70181</v>
      </c>
      <c r="F80" s="264">
        <f>D80+E80</f>
        <v>109985</v>
      </c>
      <c r="G80" s="52">
        <v>11353.99</v>
      </c>
      <c r="H80" s="52">
        <v>108200</v>
      </c>
      <c r="I80" s="264">
        <f>G80+H80</f>
        <v>119553.99</v>
      </c>
      <c r="J80" s="265">
        <f t="shared" si="2"/>
        <v>1.0870026821839343</v>
      </c>
      <c r="K80" s="52">
        <v>13729</v>
      </c>
      <c r="L80" s="52">
        <v>48772</v>
      </c>
      <c r="M80" s="52">
        <f t="shared" si="3"/>
        <v>62501</v>
      </c>
      <c r="N80" s="52">
        <v>10148</v>
      </c>
      <c r="O80" s="52">
        <v>27360</v>
      </c>
      <c r="P80" s="264">
        <f>N80+O80</f>
        <v>37508</v>
      </c>
      <c r="R80" s="125">
        <f t="shared" si="4"/>
        <v>0.60011839810563028</v>
      </c>
      <c r="S80" s="266"/>
      <c r="T80" s="125"/>
      <c r="U80" s="126"/>
    </row>
    <row r="81" spans="3:21" ht="15" customHeight="1" x14ac:dyDescent="0.25">
      <c r="C81" s="52" t="s">
        <v>163</v>
      </c>
      <c r="D81" s="52">
        <v>3802609</v>
      </c>
      <c r="E81" s="263">
        <v>3607111</v>
      </c>
      <c r="F81" s="264">
        <f t="shared" si="0"/>
        <v>7409720</v>
      </c>
      <c r="G81" s="52">
        <v>5015719</v>
      </c>
      <c r="H81" s="52">
        <v>3584924</v>
      </c>
      <c r="I81" s="264">
        <f t="shared" si="1"/>
        <v>8600643</v>
      </c>
      <c r="J81" s="265">
        <f t="shared" si="2"/>
        <v>1.1607244268339425</v>
      </c>
      <c r="K81" s="52">
        <v>9586556</v>
      </c>
      <c r="L81" s="52">
        <v>4804367</v>
      </c>
      <c r="M81" s="52">
        <f t="shared" si="3"/>
        <v>14390923</v>
      </c>
      <c r="N81" s="52">
        <v>9995787</v>
      </c>
      <c r="O81" s="52">
        <v>2921966</v>
      </c>
      <c r="P81" s="264">
        <f t="shared" si="5"/>
        <v>12917753</v>
      </c>
      <c r="R81" s="125">
        <f t="shared" si="4"/>
        <v>0.89763200039358138</v>
      </c>
      <c r="S81" s="266"/>
      <c r="T81" s="125"/>
      <c r="U81" s="126"/>
    </row>
    <row r="82" spans="3:21" ht="15" customHeight="1" x14ac:dyDescent="0.25">
      <c r="C82" s="52" t="s">
        <v>164</v>
      </c>
      <c r="D82" s="52">
        <v>679452.26649999991</v>
      </c>
      <c r="E82" s="263">
        <v>979732.52173799998</v>
      </c>
      <c r="F82" s="264">
        <f t="shared" si="0"/>
        <v>1659184.7882379999</v>
      </c>
      <c r="G82" s="52">
        <v>709042</v>
      </c>
      <c r="H82" s="52">
        <v>1116169</v>
      </c>
      <c r="I82" s="264">
        <f t="shared" si="1"/>
        <v>1825211</v>
      </c>
      <c r="J82" s="265">
        <f t="shared" si="2"/>
        <v>1.1000649312475403</v>
      </c>
      <c r="K82" s="52">
        <v>1708915</v>
      </c>
      <c r="L82" s="52">
        <v>2497404</v>
      </c>
      <c r="M82" s="52">
        <f t="shared" si="3"/>
        <v>4206319</v>
      </c>
      <c r="N82" s="52">
        <v>1515005</v>
      </c>
      <c r="O82" s="52">
        <v>1085491</v>
      </c>
      <c r="P82" s="264">
        <f t="shared" si="5"/>
        <v>2600496</v>
      </c>
      <c r="R82" s="125">
        <f t="shared" si="4"/>
        <v>0.61823556415954184</v>
      </c>
      <c r="S82" s="266"/>
      <c r="T82" s="125"/>
      <c r="U82" s="126"/>
    </row>
    <row r="83" spans="3:21" ht="15" customHeight="1" x14ac:dyDescent="0.25">
      <c r="C83" s="52" t="s">
        <v>165</v>
      </c>
      <c r="D83" s="52">
        <v>490919.83199999999</v>
      </c>
      <c r="E83" s="263">
        <v>305440</v>
      </c>
      <c r="F83" s="264">
        <f>D83+E83</f>
        <v>796359.83199999994</v>
      </c>
      <c r="G83" s="52">
        <v>501773</v>
      </c>
      <c r="H83" s="52">
        <v>254381</v>
      </c>
      <c r="I83" s="264">
        <f>G83+H83</f>
        <v>756154</v>
      </c>
      <c r="J83" s="265">
        <f t="shared" si="2"/>
        <v>0.94951298347252655</v>
      </c>
      <c r="K83" s="52">
        <v>419998</v>
      </c>
      <c r="L83" s="52">
        <v>199300</v>
      </c>
      <c r="M83" s="52">
        <f t="shared" si="3"/>
        <v>619298</v>
      </c>
      <c r="N83" s="52">
        <v>2011785</v>
      </c>
      <c r="O83" s="52">
        <v>188489</v>
      </c>
      <c r="P83" s="264">
        <f>N83+O83</f>
        <v>2200274</v>
      </c>
      <c r="R83" s="125">
        <f t="shared" si="4"/>
        <v>3.5528517773349826</v>
      </c>
      <c r="S83" s="266"/>
      <c r="T83" s="125"/>
      <c r="U83" s="126"/>
    </row>
    <row r="84" spans="3:21" ht="15" customHeight="1" x14ac:dyDescent="0.25">
      <c r="C84" s="52" t="s">
        <v>166</v>
      </c>
      <c r="D84" s="52">
        <v>751355</v>
      </c>
      <c r="E84" s="263">
        <v>540322</v>
      </c>
      <c r="F84" s="264">
        <f t="shared" si="0"/>
        <v>1291677</v>
      </c>
      <c r="G84" s="52">
        <v>833122.71</v>
      </c>
      <c r="H84" s="52">
        <v>449768</v>
      </c>
      <c r="I84" s="264">
        <f t="shared" si="1"/>
        <v>1282890.71</v>
      </c>
      <c r="J84" s="265">
        <f t="shared" si="2"/>
        <v>0.99319776538561877</v>
      </c>
      <c r="K84" s="52">
        <v>1144848</v>
      </c>
      <c r="L84" s="52">
        <v>674614</v>
      </c>
      <c r="M84" s="52">
        <f t="shared" si="3"/>
        <v>1819462</v>
      </c>
      <c r="N84" s="52">
        <v>1207189</v>
      </c>
      <c r="O84" s="52">
        <v>552064</v>
      </c>
      <c r="P84" s="264">
        <f t="shared" si="5"/>
        <v>1759253</v>
      </c>
      <c r="R84" s="125">
        <f t="shared" si="4"/>
        <v>0.96690834983088403</v>
      </c>
      <c r="S84" s="266"/>
      <c r="T84" s="125"/>
      <c r="U84" s="126"/>
    </row>
    <row r="85" spans="3:21" ht="15" customHeight="1" x14ac:dyDescent="0.25">
      <c r="C85" s="52" t="s">
        <v>167</v>
      </c>
      <c r="D85" s="52">
        <v>359295</v>
      </c>
      <c r="E85" s="263">
        <v>1815345</v>
      </c>
      <c r="F85" s="264">
        <f t="shared" si="0"/>
        <v>2174640</v>
      </c>
      <c r="G85" s="52">
        <v>355184</v>
      </c>
      <c r="H85" s="52">
        <v>1292100</v>
      </c>
      <c r="I85" s="264">
        <f t="shared" si="1"/>
        <v>1647284</v>
      </c>
      <c r="J85" s="265">
        <f t="shared" si="2"/>
        <v>0.75749733289188093</v>
      </c>
      <c r="K85" s="52">
        <v>401966</v>
      </c>
      <c r="L85" s="52">
        <v>1491792</v>
      </c>
      <c r="M85" s="52">
        <f t="shared" si="3"/>
        <v>1893758</v>
      </c>
      <c r="N85" s="52">
        <v>443946</v>
      </c>
      <c r="O85" s="52">
        <v>2361354</v>
      </c>
      <c r="P85" s="264">
        <f t="shared" si="5"/>
        <v>2805300</v>
      </c>
      <c r="R85" s="125">
        <f t="shared" si="4"/>
        <v>1.4813402768463553</v>
      </c>
      <c r="S85" s="266"/>
      <c r="T85" s="125"/>
      <c r="U85" s="126"/>
    </row>
    <row r="86" spans="3:21" ht="15" customHeight="1" x14ac:dyDescent="0.25">
      <c r="C86" s="52" t="s">
        <v>168</v>
      </c>
      <c r="D86" s="52">
        <v>1867043</v>
      </c>
      <c r="E86" s="263">
        <v>2195979</v>
      </c>
      <c r="F86" s="264">
        <f t="shared" si="0"/>
        <v>4063022</v>
      </c>
      <c r="G86" s="52">
        <v>1773965</v>
      </c>
      <c r="H86" s="52">
        <v>1766959</v>
      </c>
      <c r="I86" s="264">
        <f t="shared" si="1"/>
        <v>3540924</v>
      </c>
      <c r="J86" s="265">
        <f t="shared" si="2"/>
        <v>0.87150008048196637</v>
      </c>
      <c r="K86" s="52">
        <v>2492004</v>
      </c>
      <c r="L86" s="52">
        <v>1508514</v>
      </c>
      <c r="M86" s="52">
        <f t="shared" si="3"/>
        <v>4000518</v>
      </c>
      <c r="N86" s="52">
        <v>4722861</v>
      </c>
      <c r="O86" s="52">
        <v>1595892</v>
      </c>
      <c r="P86" s="264">
        <f t="shared" si="5"/>
        <v>6318753</v>
      </c>
      <c r="R86" s="125">
        <f t="shared" si="4"/>
        <v>1.5794837068599616</v>
      </c>
      <c r="S86" s="266"/>
      <c r="T86" s="125"/>
      <c r="U86" s="126"/>
    </row>
    <row r="87" spans="3:21" ht="15" customHeight="1" x14ac:dyDescent="0.25">
      <c r="C87" s="52" t="s">
        <v>169</v>
      </c>
      <c r="D87" s="52">
        <v>587111</v>
      </c>
      <c r="E87" s="263">
        <v>404106.06761000003</v>
      </c>
      <c r="F87" s="264">
        <f>D87+E87</f>
        <v>991217.06761000003</v>
      </c>
      <c r="G87" s="52">
        <v>627237.49</v>
      </c>
      <c r="H87" s="52">
        <v>442866</v>
      </c>
      <c r="I87" s="264">
        <f>G87+H87</f>
        <v>1070103.49</v>
      </c>
      <c r="J87" s="265">
        <f t="shared" si="2"/>
        <v>1.079585415715459</v>
      </c>
      <c r="K87" s="52">
        <v>779421</v>
      </c>
      <c r="L87" s="52">
        <v>439921</v>
      </c>
      <c r="M87" s="52">
        <f t="shared" si="3"/>
        <v>1219342</v>
      </c>
      <c r="N87" s="52">
        <v>878681</v>
      </c>
      <c r="O87" s="52">
        <v>1097834</v>
      </c>
      <c r="P87" s="264">
        <f>N87+O87</f>
        <v>1976515</v>
      </c>
      <c r="R87" s="125">
        <f t="shared" si="4"/>
        <v>1.6209685223669816</v>
      </c>
      <c r="S87" s="266"/>
      <c r="T87" s="125"/>
      <c r="U87" s="126"/>
    </row>
    <row r="88" spans="3:21" ht="15" customHeight="1" x14ac:dyDescent="0.25">
      <c r="C88" s="52" t="s">
        <v>170</v>
      </c>
      <c r="D88" s="52">
        <v>1034790</v>
      </c>
      <c r="E88" s="263">
        <v>1930723.26</v>
      </c>
      <c r="F88" s="264">
        <f t="shared" si="0"/>
        <v>2965513.26</v>
      </c>
      <c r="G88" s="52">
        <v>1086831.6499999999</v>
      </c>
      <c r="H88" s="52">
        <v>967094</v>
      </c>
      <c r="I88" s="264">
        <f t="shared" si="1"/>
        <v>2053925.65</v>
      </c>
      <c r="J88" s="265">
        <f t="shared" si="2"/>
        <v>0.69260376532593892</v>
      </c>
      <c r="K88" s="52">
        <v>1947699</v>
      </c>
      <c r="L88" s="52">
        <v>2366954</v>
      </c>
      <c r="M88" s="52">
        <f t="shared" si="3"/>
        <v>4314653</v>
      </c>
      <c r="N88" s="52">
        <v>2361650</v>
      </c>
      <c r="O88" s="52">
        <v>2335873</v>
      </c>
      <c r="P88" s="264">
        <f t="shared" si="5"/>
        <v>4697523</v>
      </c>
      <c r="R88" s="125">
        <f t="shared" si="4"/>
        <v>1.0887371475759464</v>
      </c>
      <c r="S88" s="266"/>
      <c r="T88" s="125"/>
      <c r="U88" s="126"/>
    </row>
    <row r="89" spans="3:21" ht="15" customHeight="1" x14ac:dyDescent="0.25">
      <c r="C89" s="52" t="s">
        <v>171</v>
      </c>
      <c r="D89" s="52">
        <v>3445369.4415000002</v>
      </c>
      <c r="E89" s="263">
        <v>7876143</v>
      </c>
      <c r="F89" s="264">
        <f t="shared" si="0"/>
        <v>11321512.441500001</v>
      </c>
      <c r="G89" s="52">
        <v>3855604</v>
      </c>
      <c r="H89" s="52">
        <v>8804594</v>
      </c>
      <c r="I89" s="264">
        <f t="shared" si="1"/>
        <v>12660198</v>
      </c>
      <c r="J89" s="265">
        <f t="shared" si="2"/>
        <v>1.1182426434115755</v>
      </c>
      <c r="K89" s="52">
        <v>4175631</v>
      </c>
      <c r="L89" s="52">
        <v>11054340</v>
      </c>
      <c r="M89" s="52">
        <f t="shared" si="3"/>
        <v>15229971</v>
      </c>
      <c r="N89" s="52">
        <v>4200863</v>
      </c>
      <c r="O89" s="52">
        <v>11809025</v>
      </c>
      <c r="P89" s="264">
        <f t="shared" si="5"/>
        <v>16009888</v>
      </c>
      <c r="R89" s="125">
        <f t="shared" si="4"/>
        <v>1.0512093555529423</v>
      </c>
      <c r="S89" s="266"/>
      <c r="T89" s="125"/>
      <c r="U89" s="126"/>
    </row>
    <row r="90" spans="3:21" ht="15" customHeight="1" x14ac:dyDescent="0.25">
      <c r="C90" s="52" t="s">
        <v>172</v>
      </c>
      <c r="D90" s="52">
        <v>1263023</v>
      </c>
      <c r="E90" s="263">
        <v>1192004</v>
      </c>
      <c r="F90" s="264">
        <f t="shared" si="0"/>
        <v>2455027</v>
      </c>
      <c r="G90" s="52">
        <v>1110492</v>
      </c>
      <c r="H90" s="52">
        <v>1122164</v>
      </c>
      <c r="I90" s="264">
        <f t="shared" si="1"/>
        <v>2232656</v>
      </c>
      <c r="J90" s="265">
        <f t="shared" si="2"/>
        <v>0.90942217743430109</v>
      </c>
      <c r="K90" s="52">
        <v>9857632</v>
      </c>
      <c r="L90" s="52">
        <v>1690991</v>
      </c>
      <c r="M90" s="52">
        <f t="shared" si="3"/>
        <v>11548623</v>
      </c>
      <c r="N90" s="52">
        <v>2916876</v>
      </c>
      <c r="O90" s="52">
        <v>1649032</v>
      </c>
      <c r="P90" s="264">
        <f t="shared" si="5"/>
        <v>4565908</v>
      </c>
      <c r="R90" s="125">
        <f t="shared" si="4"/>
        <v>0.39536384554245124</v>
      </c>
      <c r="S90" s="266"/>
      <c r="T90" s="125"/>
      <c r="U90" s="126"/>
    </row>
    <row r="91" spans="3:21" ht="15" customHeight="1" x14ac:dyDescent="0.25">
      <c r="C91" s="52" t="s">
        <v>173</v>
      </c>
      <c r="D91" s="52">
        <v>38607672.27335</v>
      </c>
      <c r="E91" s="263">
        <v>102423063.05140001</v>
      </c>
      <c r="F91" s="264">
        <f>D91+E91</f>
        <v>141030735.32475001</v>
      </c>
      <c r="G91" s="52">
        <v>38794615</v>
      </c>
      <c r="H91" s="52">
        <v>103320484</v>
      </c>
      <c r="I91" s="264">
        <f>G91+H91</f>
        <v>142115099</v>
      </c>
      <c r="J91" s="265">
        <f t="shared" si="2"/>
        <v>1.0076888464968508</v>
      </c>
      <c r="K91" s="52">
        <v>54315284</v>
      </c>
      <c r="L91" s="52">
        <v>132307345</v>
      </c>
      <c r="M91" s="52">
        <f t="shared" si="3"/>
        <v>186622629</v>
      </c>
      <c r="N91" s="52">
        <v>54817026</v>
      </c>
      <c r="O91" s="52">
        <v>285002518</v>
      </c>
      <c r="P91" s="264">
        <f>N91+O91</f>
        <v>339819544</v>
      </c>
      <c r="R91" s="125">
        <f t="shared" si="4"/>
        <v>1.8208914204075435</v>
      </c>
      <c r="S91" s="266"/>
      <c r="T91" s="125"/>
      <c r="U91" s="126"/>
    </row>
    <row r="92" spans="3:21" ht="15" customHeight="1" x14ac:dyDescent="0.25">
      <c r="C92" s="52" t="s">
        <v>174</v>
      </c>
      <c r="D92" s="52">
        <v>1053724</v>
      </c>
      <c r="E92" s="263">
        <v>1760700</v>
      </c>
      <c r="F92" s="264">
        <f t="shared" si="0"/>
        <v>2814424</v>
      </c>
      <c r="G92" s="52">
        <v>974443</v>
      </c>
      <c r="H92" s="52">
        <v>1955033</v>
      </c>
      <c r="I92" s="264">
        <f t="shared" si="1"/>
        <v>2929476</v>
      </c>
      <c r="J92" s="265">
        <f t="shared" si="2"/>
        <v>1.0408794126258161</v>
      </c>
      <c r="K92" s="52">
        <v>830670</v>
      </c>
      <c r="L92" s="52">
        <v>835671</v>
      </c>
      <c r="M92" s="52">
        <f t="shared" si="3"/>
        <v>1666341</v>
      </c>
      <c r="N92" s="52">
        <v>824105</v>
      </c>
      <c r="O92" s="52">
        <v>1076489</v>
      </c>
      <c r="P92" s="264">
        <f t="shared" si="5"/>
        <v>1900594</v>
      </c>
      <c r="R92" s="125">
        <f t="shared" si="4"/>
        <v>1.1405792691891996</v>
      </c>
      <c r="S92" s="266"/>
      <c r="T92" s="125"/>
      <c r="U92" s="126"/>
    </row>
    <row r="93" spans="3:21" ht="15" customHeight="1" x14ac:dyDescent="0.25">
      <c r="C93" s="52" t="s">
        <v>175</v>
      </c>
      <c r="D93" s="52">
        <v>4668675</v>
      </c>
      <c r="E93" s="263">
        <v>9408641</v>
      </c>
      <c r="F93" s="264">
        <f t="shared" si="0"/>
        <v>14077316</v>
      </c>
      <c r="G93" s="52">
        <v>5684224</v>
      </c>
      <c r="H93" s="52">
        <v>11342255</v>
      </c>
      <c r="I93" s="264">
        <f t="shared" si="1"/>
        <v>17026479</v>
      </c>
      <c r="J93" s="265">
        <f t="shared" si="2"/>
        <v>1.2094975348994084</v>
      </c>
      <c r="K93" s="52">
        <v>11151231</v>
      </c>
      <c r="L93" s="52">
        <v>17809712</v>
      </c>
      <c r="M93" s="52">
        <f t="shared" si="3"/>
        <v>28960943</v>
      </c>
      <c r="N93" s="52">
        <v>8125909</v>
      </c>
      <c r="O93" s="52">
        <v>17789868</v>
      </c>
      <c r="P93" s="264">
        <f t="shared" si="5"/>
        <v>25915777</v>
      </c>
      <c r="R93" s="125">
        <f t="shared" si="4"/>
        <v>0.8948526641553074</v>
      </c>
      <c r="S93" s="266"/>
      <c r="T93" s="125"/>
      <c r="U93" s="126"/>
    </row>
    <row r="94" spans="3:21" ht="15" customHeight="1" x14ac:dyDescent="0.25">
      <c r="C94" s="149" t="s">
        <v>73</v>
      </c>
      <c r="D94" s="264">
        <f>SUM(D74:D93)</f>
        <v>153300456.81334999</v>
      </c>
      <c r="E94" s="264">
        <f>SUM(E74:E93)</f>
        <v>207197226.85267049</v>
      </c>
      <c r="F94" s="264">
        <f t="shared" si="0"/>
        <v>360497683.66602051</v>
      </c>
      <c r="G94" s="264">
        <f>SUM(G74:G93)</f>
        <v>156432701.25999999</v>
      </c>
      <c r="H94" s="264">
        <f>SUM(H74:H93)</f>
        <v>227469651</v>
      </c>
      <c r="I94" s="264">
        <f t="shared" si="1"/>
        <v>383902352.25999999</v>
      </c>
      <c r="J94" s="265"/>
      <c r="K94" s="264">
        <f t="shared" ref="K94:P94" si="6">SUM(K74:K93)</f>
        <v>243469653</v>
      </c>
      <c r="L94" s="264">
        <f t="shared" si="6"/>
        <v>288427423</v>
      </c>
      <c r="M94" s="264">
        <f t="shared" si="6"/>
        <v>531897076</v>
      </c>
      <c r="N94" s="264">
        <f t="shared" si="6"/>
        <v>271008615</v>
      </c>
      <c r="O94" s="264">
        <f t="shared" si="6"/>
        <v>464758438</v>
      </c>
      <c r="P94" s="267">
        <f t="shared" si="6"/>
        <v>735767053</v>
      </c>
      <c r="R94" s="125">
        <f>SUM(R74:R93)</f>
        <v>23.417077273053895</v>
      </c>
      <c r="S94" s="268"/>
      <c r="T94" s="125"/>
      <c r="U94" s="126"/>
    </row>
    <row r="95" spans="3:21" ht="15" customHeight="1" x14ac:dyDescent="0.25">
      <c r="R95" s="126"/>
      <c r="S95" s="126"/>
      <c r="T95" s="126"/>
      <c r="U95" s="126"/>
    </row>
    <row r="96" spans="3:21" ht="15" customHeight="1" x14ac:dyDescent="0.25">
      <c r="R96" s="126"/>
      <c r="S96" s="126"/>
      <c r="T96" s="126"/>
      <c r="U96" s="126"/>
    </row>
    <row r="97" spans="18:21" x14ac:dyDescent="0.25">
      <c r="R97" s="126"/>
      <c r="S97" s="126"/>
      <c r="T97" s="126"/>
      <c r="U97" s="126"/>
    </row>
    <row r="98" spans="18:21" x14ac:dyDescent="0.25">
      <c r="R98" s="126"/>
      <c r="S98" s="126"/>
      <c r="T98" s="126"/>
      <c r="U98" s="126"/>
    </row>
    <row r="99" spans="18:21" x14ac:dyDescent="0.25">
      <c r="R99" s="126"/>
      <c r="S99" s="126"/>
      <c r="T99" s="126"/>
      <c r="U99" s="126"/>
    </row>
    <row r="100" spans="18:21" x14ac:dyDescent="0.25">
      <c r="R100" s="126"/>
      <c r="S100" s="126"/>
      <c r="T100" s="126"/>
      <c r="U100" s="126"/>
    </row>
  </sheetData>
  <mergeCells count="67">
    <mergeCell ref="N72:P72"/>
    <mergeCell ref="R72:R73"/>
    <mergeCell ref="C62:H62"/>
    <mergeCell ref="C63:H63"/>
    <mergeCell ref="C64:H64"/>
    <mergeCell ref="C67:H67"/>
    <mergeCell ref="I67:K67"/>
    <mergeCell ref="C72:C73"/>
    <mergeCell ref="D72:F72"/>
    <mergeCell ref="G72:I72"/>
    <mergeCell ref="K72:M72"/>
    <mergeCell ref="C59:H59"/>
    <mergeCell ref="C43:H43"/>
    <mergeCell ref="I43:K43"/>
    <mergeCell ref="C44:H44"/>
    <mergeCell ref="C47:H47"/>
    <mergeCell ref="C48:H48"/>
    <mergeCell ref="C49:H49"/>
    <mergeCell ref="C52:H52"/>
    <mergeCell ref="C53:H53"/>
    <mergeCell ref="C54:H54"/>
    <mergeCell ref="C57:H57"/>
    <mergeCell ref="C58:H58"/>
    <mergeCell ref="I37:K37"/>
    <mergeCell ref="C38:H38"/>
    <mergeCell ref="I38:K38"/>
    <mergeCell ref="C39:H39"/>
    <mergeCell ref="C42:H42"/>
    <mergeCell ref="I42:K42"/>
    <mergeCell ref="C37:H37"/>
    <mergeCell ref="C29:H29"/>
    <mergeCell ref="C30:H30"/>
    <mergeCell ref="C32:H32"/>
    <mergeCell ref="C33:H33"/>
    <mergeCell ref="C34:H34"/>
    <mergeCell ref="C28:H28"/>
    <mergeCell ref="C18:H18"/>
    <mergeCell ref="C19:H19"/>
    <mergeCell ref="I19:K19"/>
    <mergeCell ref="C20:H20"/>
    <mergeCell ref="I20:K20"/>
    <mergeCell ref="C21:H21"/>
    <mergeCell ref="I21:K21"/>
    <mergeCell ref="C22:H22"/>
    <mergeCell ref="C23:H23"/>
    <mergeCell ref="C25:H25"/>
    <mergeCell ref="C26:H26"/>
    <mergeCell ref="C27:H27"/>
    <mergeCell ref="C15:H15"/>
    <mergeCell ref="I15:K15"/>
    <mergeCell ref="C16:H16"/>
    <mergeCell ref="I16:K16"/>
    <mergeCell ref="C17:H17"/>
    <mergeCell ref="I17:K17"/>
    <mergeCell ref="C12:H12"/>
    <mergeCell ref="I12:K12"/>
    <mergeCell ref="C13:H13"/>
    <mergeCell ref="I13:K13"/>
    <mergeCell ref="C14:H14"/>
    <mergeCell ref="I14:K14"/>
    <mergeCell ref="C10:H10"/>
    <mergeCell ref="I10:K10"/>
    <mergeCell ref="C4:K4"/>
    <mergeCell ref="B5:K5"/>
    <mergeCell ref="B6:H6"/>
    <mergeCell ref="C8:H8"/>
    <mergeCell ref="C9:H9"/>
  </mergeCells>
  <pageMargins left="0" right="0.11811023622047245" top="0.74803149606299213" bottom="0.74803149606299213" header="0.31496062992125984" footer="0.31496062992125984"/>
  <pageSetup scale="5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I34"/>
  <sheetViews>
    <sheetView zoomScale="90" zoomScaleNormal="90" workbookViewId="0">
      <selection activeCell="Q48" sqref="Q48"/>
    </sheetView>
  </sheetViews>
  <sheetFormatPr baseColWidth="10" defaultRowHeight="15" x14ac:dyDescent="0.25"/>
  <cols>
    <col min="1" max="1" width="3.5703125" customWidth="1"/>
    <col min="2" max="2" width="20.42578125" customWidth="1"/>
    <col min="3" max="4" width="19.7109375" bestFit="1" customWidth="1"/>
    <col min="5" max="5" width="12.7109375" bestFit="1" customWidth="1"/>
    <col min="6" max="6" width="14.85546875" bestFit="1" customWidth="1"/>
    <col min="7" max="7" width="23.5703125" customWidth="1"/>
    <col min="8" max="8" width="26.140625" style="12" customWidth="1"/>
  </cols>
  <sheetData>
    <row r="2" spans="2:9" x14ac:dyDescent="0.25">
      <c r="B2" s="11"/>
      <c r="C2" s="11"/>
      <c r="D2" s="11"/>
      <c r="E2" s="11"/>
      <c r="F2" s="11"/>
      <c r="G2" s="11"/>
      <c r="H2" s="270" t="s">
        <v>255</v>
      </c>
    </row>
    <row r="3" spans="2:9" x14ac:dyDescent="0.25">
      <c r="B3" s="669" t="s">
        <v>0</v>
      </c>
      <c r="C3" s="669"/>
      <c r="D3" s="669"/>
      <c r="E3" s="669"/>
      <c r="F3" s="669"/>
      <c r="G3" s="669"/>
      <c r="H3" s="669"/>
    </row>
    <row r="4" spans="2:9" x14ac:dyDescent="0.25">
      <c r="B4" s="669" t="s">
        <v>256</v>
      </c>
      <c r="C4" s="669"/>
      <c r="D4" s="669"/>
      <c r="E4" s="669"/>
      <c r="F4" s="669"/>
      <c r="G4" s="669"/>
      <c r="H4" s="669"/>
      <c r="I4" s="12"/>
    </row>
    <row r="5" spans="2:9" x14ac:dyDescent="0.25">
      <c r="B5" s="852" t="s">
        <v>93</v>
      </c>
      <c r="C5" s="108" t="s">
        <v>94</v>
      </c>
      <c r="D5" s="108" t="s">
        <v>28</v>
      </c>
      <c r="E5" s="855" t="s">
        <v>29</v>
      </c>
      <c r="F5" s="856"/>
      <c r="G5" s="108" t="s">
        <v>30</v>
      </c>
      <c r="H5" s="296" t="s">
        <v>32</v>
      </c>
      <c r="I5" s="12"/>
    </row>
    <row r="6" spans="2:9" x14ac:dyDescent="0.25">
      <c r="B6" s="853"/>
      <c r="C6" s="25" t="s">
        <v>99</v>
      </c>
      <c r="D6" s="25" t="s">
        <v>38</v>
      </c>
      <c r="E6" s="857">
        <v>2015</v>
      </c>
      <c r="F6" s="750"/>
      <c r="G6" s="25" t="s">
        <v>39</v>
      </c>
      <c r="H6" s="297" t="s">
        <v>41</v>
      </c>
      <c r="I6" s="12"/>
    </row>
    <row r="7" spans="2:9" x14ac:dyDescent="0.25">
      <c r="B7" s="853"/>
      <c r="C7" s="142">
        <v>2014</v>
      </c>
      <c r="D7" s="142" t="s">
        <v>44</v>
      </c>
      <c r="E7" s="25" t="s">
        <v>45</v>
      </c>
      <c r="F7" s="25" t="s">
        <v>46</v>
      </c>
      <c r="G7" s="25" t="s">
        <v>47</v>
      </c>
      <c r="H7" s="297" t="s">
        <v>257</v>
      </c>
      <c r="I7" s="12"/>
    </row>
    <row r="8" spans="2:9" x14ac:dyDescent="0.25">
      <c r="B8" s="854"/>
      <c r="C8" s="143" t="s">
        <v>80</v>
      </c>
      <c r="D8" s="143" t="s">
        <v>107</v>
      </c>
      <c r="E8" s="143" t="s">
        <v>258</v>
      </c>
      <c r="F8" s="143" t="s">
        <v>108</v>
      </c>
      <c r="G8" s="143" t="s">
        <v>83</v>
      </c>
      <c r="H8" s="143" t="s">
        <v>259</v>
      </c>
      <c r="I8" s="12"/>
    </row>
    <row r="9" spans="2:9" x14ac:dyDescent="0.25">
      <c r="B9" s="144" t="s">
        <v>53</v>
      </c>
      <c r="C9" s="145">
        <v>3.62</v>
      </c>
      <c r="D9" s="298">
        <f>$D$29*C9/100</f>
        <v>157112507.47920001</v>
      </c>
      <c r="E9" s="299">
        <f>F9/F$29*100</f>
        <v>3.1589687142796663</v>
      </c>
      <c r="F9" s="300">
        <f>CENSO!C10</f>
        <v>37309</v>
      </c>
      <c r="G9" s="207">
        <f>E9</f>
        <v>3.1589687142796663</v>
      </c>
      <c r="H9" s="301">
        <f>Datos!I$15*'FGP 60%'!G9%</f>
        <v>9504000.3123449981</v>
      </c>
    </row>
    <row r="10" spans="2:9" x14ac:dyDescent="0.25">
      <c r="B10" s="147" t="s">
        <v>54</v>
      </c>
      <c r="C10" s="121">
        <v>2.4700000000000002</v>
      </c>
      <c r="D10" s="302">
        <f t="shared" ref="D10:D28" si="0">$D$29*C10/100</f>
        <v>107201075.54520001</v>
      </c>
      <c r="E10" s="166">
        <f t="shared" ref="E10:E28" si="1">F10/F$29*100</f>
        <v>1.3507472164599297</v>
      </c>
      <c r="F10" s="124">
        <f>CENSO!C11</f>
        <v>15953</v>
      </c>
      <c r="G10" s="167">
        <f t="shared" ref="G10:G29" si="2">E10</f>
        <v>1.3507472164599297</v>
      </c>
      <c r="H10" s="303">
        <f>Datos!I$15*'FGP 60%'!G10%</f>
        <v>4063826.8777731853</v>
      </c>
    </row>
    <row r="11" spans="2:9" x14ac:dyDescent="0.25">
      <c r="B11" s="147" t="s">
        <v>55</v>
      </c>
      <c r="C11" s="121">
        <v>2.33</v>
      </c>
      <c r="D11" s="302">
        <f t="shared" si="0"/>
        <v>101124901.2228</v>
      </c>
      <c r="E11" s="166">
        <f t="shared" si="1"/>
        <v>1.0034291520257399</v>
      </c>
      <c r="F11" s="124">
        <f>CENSO!C12</f>
        <v>11851</v>
      </c>
      <c r="G11" s="167">
        <f t="shared" si="2"/>
        <v>1.0034291520257399</v>
      </c>
      <c r="H11" s="303">
        <f>Datos!I$15*'FGP 60%'!G11%</f>
        <v>3018893.7709828885</v>
      </c>
    </row>
    <row r="12" spans="2:9" x14ac:dyDescent="0.25">
      <c r="B12" s="147" t="s">
        <v>56</v>
      </c>
      <c r="C12" s="121">
        <v>2.81</v>
      </c>
      <c r="D12" s="302">
        <f t="shared" si="0"/>
        <v>121957498.89960001</v>
      </c>
      <c r="E12" s="166">
        <f t="shared" si="1"/>
        <v>12.721730663392744</v>
      </c>
      <c r="F12" s="124">
        <f>CENSO!C13</f>
        <v>150250</v>
      </c>
      <c r="G12" s="167">
        <f t="shared" si="2"/>
        <v>12.721730663392744</v>
      </c>
      <c r="H12" s="303">
        <f>Datos!I$15*'FGP 60%'!G12%</f>
        <v>38274305.045158975</v>
      </c>
    </row>
    <row r="13" spans="2:9" x14ac:dyDescent="0.25">
      <c r="B13" s="147" t="s">
        <v>57</v>
      </c>
      <c r="C13" s="121">
        <v>4.6399999999999997</v>
      </c>
      <c r="D13" s="302">
        <f t="shared" si="0"/>
        <v>201381777.54239997</v>
      </c>
      <c r="E13" s="166">
        <f t="shared" si="1"/>
        <v>6.3943101477498834</v>
      </c>
      <c r="F13" s="124">
        <f>CENSO!C14</f>
        <v>75520</v>
      </c>
      <c r="G13" s="167">
        <f t="shared" si="2"/>
        <v>6.3943101477498834</v>
      </c>
      <c r="H13" s="303">
        <f>Datos!I$15*'FGP 60%'!G13%</f>
        <v>19237773.823696543</v>
      </c>
    </row>
    <row r="14" spans="2:9" x14ac:dyDescent="0.25">
      <c r="B14" s="147" t="s">
        <v>58</v>
      </c>
      <c r="C14" s="121">
        <v>1.5</v>
      </c>
      <c r="D14" s="302">
        <f t="shared" si="0"/>
        <v>65101867.740000002</v>
      </c>
      <c r="E14" s="166">
        <f t="shared" si="1"/>
        <v>3.5996782524025233</v>
      </c>
      <c r="F14" s="124">
        <f>CENSO!C15</f>
        <v>42514</v>
      </c>
      <c r="G14" s="167">
        <f t="shared" si="2"/>
        <v>3.5996782524025233</v>
      </c>
      <c r="H14" s="303">
        <f>Datos!I$15*'FGP 60%'!G14%</f>
        <v>10829908.849849507</v>
      </c>
    </row>
    <row r="15" spans="2:9" x14ac:dyDescent="0.25">
      <c r="B15" s="147" t="s">
        <v>59</v>
      </c>
      <c r="C15" s="121">
        <v>1.53</v>
      </c>
      <c r="D15" s="302">
        <f t="shared" si="0"/>
        <v>66403905.094800003</v>
      </c>
      <c r="E15" s="166">
        <f t="shared" si="1"/>
        <v>1.0680326827822699</v>
      </c>
      <c r="F15" s="124">
        <f>CENSO!C16</f>
        <v>12614</v>
      </c>
      <c r="G15" s="167">
        <f t="shared" si="2"/>
        <v>1.0680326827822699</v>
      </c>
      <c r="H15" s="303">
        <f>Datos!I$15*'FGP 60%'!G15%</f>
        <v>3213258.4614950768</v>
      </c>
    </row>
    <row r="16" spans="2:9" x14ac:dyDescent="0.25">
      <c r="B16" s="147" t="s">
        <v>60</v>
      </c>
      <c r="C16" s="121">
        <v>3.16</v>
      </c>
      <c r="D16" s="302">
        <f t="shared" si="0"/>
        <v>137147934.70560002</v>
      </c>
      <c r="E16" s="166">
        <f t="shared" si="1"/>
        <v>2.4906650861521529</v>
      </c>
      <c r="F16" s="124">
        <f>CENSO!C17</f>
        <v>29416</v>
      </c>
      <c r="G16" s="167">
        <f t="shared" si="2"/>
        <v>2.4906650861521529</v>
      </c>
      <c r="H16" s="303">
        <f>Datos!I$15*'FGP 60%'!G16%</f>
        <v>7493357.4523021393</v>
      </c>
    </row>
    <row r="17" spans="2:8" x14ac:dyDescent="0.25">
      <c r="B17" s="147" t="s">
        <v>61</v>
      </c>
      <c r="C17" s="121">
        <v>2.81</v>
      </c>
      <c r="D17" s="302">
        <f t="shared" si="0"/>
        <v>121957498.89960001</v>
      </c>
      <c r="E17" s="166">
        <f t="shared" si="1"/>
        <v>1.5731764108208799</v>
      </c>
      <c r="F17" s="124">
        <f>CENSO!C18</f>
        <v>18580</v>
      </c>
      <c r="G17" s="167">
        <f t="shared" si="2"/>
        <v>1.5731764108208799</v>
      </c>
      <c r="H17" s="303">
        <f>Datos!I$15*'FGP 60%'!G17%</f>
        <v>4733022.2145694094</v>
      </c>
    </row>
    <row r="18" spans="2:8" x14ac:dyDescent="0.25">
      <c r="B18" s="147" t="s">
        <v>62</v>
      </c>
      <c r="C18" s="121">
        <v>1.6</v>
      </c>
      <c r="D18" s="302">
        <f t="shared" si="0"/>
        <v>69441992.255999997</v>
      </c>
      <c r="E18" s="166">
        <f t="shared" si="1"/>
        <v>1.212057067863342</v>
      </c>
      <c r="F18" s="124">
        <f>CENSO!C19</f>
        <v>14315</v>
      </c>
      <c r="G18" s="167">
        <f t="shared" si="2"/>
        <v>1.212057067863342</v>
      </c>
      <c r="H18" s="303">
        <f>Datos!I$15*'FGP 60%'!G18%</f>
        <v>3646566.8999763774</v>
      </c>
    </row>
    <row r="19" spans="2:8" x14ac:dyDescent="0.25">
      <c r="B19" s="147" t="s">
        <v>63</v>
      </c>
      <c r="C19" s="121">
        <v>2.84</v>
      </c>
      <c r="D19" s="302">
        <f t="shared" si="0"/>
        <v>123259536.25439999</v>
      </c>
      <c r="E19" s="166">
        <f t="shared" si="1"/>
        <v>2.8704119215951907</v>
      </c>
      <c r="F19" s="124">
        <f>CENSO!C20</f>
        <v>33901</v>
      </c>
      <c r="G19" s="167">
        <f t="shared" si="2"/>
        <v>2.8704119215951907</v>
      </c>
      <c r="H19" s="303">
        <f>Datos!I$15*'FGP 60%'!G19%</f>
        <v>8635855.0105553027</v>
      </c>
    </row>
    <row r="20" spans="2:8" x14ac:dyDescent="0.25">
      <c r="B20" s="147" t="s">
        <v>64</v>
      </c>
      <c r="C20" s="121">
        <v>3.33</v>
      </c>
      <c r="D20" s="302">
        <f t="shared" si="0"/>
        <v>144526146.38280001</v>
      </c>
      <c r="E20" s="166">
        <f t="shared" si="1"/>
        <v>2.0950002116760511</v>
      </c>
      <c r="F20" s="124">
        <f>CENSO!C21</f>
        <v>24743</v>
      </c>
      <c r="G20" s="167">
        <f t="shared" si="2"/>
        <v>2.0950002116760511</v>
      </c>
      <c r="H20" s="303">
        <f>Datos!I$15*'FGP 60%'!G20%</f>
        <v>6302969.2494666791</v>
      </c>
    </row>
    <row r="21" spans="2:8" x14ac:dyDescent="0.25">
      <c r="B21" s="147" t="s">
        <v>65</v>
      </c>
      <c r="C21" s="121">
        <v>4.6900000000000004</v>
      </c>
      <c r="D21" s="302">
        <f t="shared" si="0"/>
        <v>203551839.80040002</v>
      </c>
      <c r="E21" s="166">
        <f t="shared" si="1"/>
        <v>3.7237204182718768</v>
      </c>
      <c r="F21" s="124">
        <f>CENSO!C22</f>
        <v>43979</v>
      </c>
      <c r="G21" s="167">
        <f t="shared" si="2"/>
        <v>3.7237204182718768</v>
      </c>
      <c r="H21" s="303">
        <f>Datos!I$15*'FGP 60%'!G21%</f>
        <v>11203099.245131757</v>
      </c>
    </row>
    <row r="22" spans="2:8" x14ac:dyDescent="0.25">
      <c r="B22" s="147" t="s">
        <v>66</v>
      </c>
      <c r="C22" s="121">
        <v>2.13</v>
      </c>
      <c r="D22" s="302">
        <f t="shared" si="0"/>
        <v>92444652.190799996</v>
      </c>
      <c r="E22" s="166">
        <f t="shared" si="1"/>
        <v>0.63494348249439059</v>
      </c>
      <c r="F22" s="124">
        <f>CENSO!C23</f>
        <v>7499</v>
      </c>
      <c r="G22" s="167">
        <f t="shared" si="2"/>
        <v>0.63494348249439059</v>
      </c>
      <c r="H22" s="303">
        <f>Datos!I$15*'FGP 60%'!G22%</f>
        <v>1910276.2963969859</v>
      </c>
    </row>
    <row r="23" spans="2:8" x14ac:dyDescent="0.25">
      <c r="B23" s="147" t="s">
        <v>67</v>
      </c>
      <c r="C23" s="121">
        <v>2.81</v>
      </c>
      <c r="D23" s="302">
        <f t="shared" si="0"/>
        <v>121957498.89960001</v>
      </c>
      <c r="E23" s="166">
        <f t="shared" si="1"/>
        <v>1.9878074594640365</v>
      </c>
      <c r="F23" s="124">
        <f>CENSO!C24</f>
        <v>23477</v>
      </c>
      <c r="G23" s="167">
        <f t="shared" si="2"/>
        <v>1.9878074594640365</v>
      </c>
      <c r="H23" s="303">
        <f>Datos!I$15*'FGP 60%'!G23%</f>
        <v>5980471.6109497324</v>
      </c>
    </row>
    <row r="24" spans="2:8" x14ac:dyDescent="0.25">
      <c r="B24" s="147" t="s">
        <v>68</v>
      </c>
      <c r="C24" s="121">
        <v>8.34</v>
      </c>
      <c r="D24" s="302">
        <f t="shared" si="0"/>
        <v>361966384.63440001</v>
      </c>
      <c r="E24" s="166">
        <f t="shared" si="1"/>
        <v>8.2824605224164927</v>
      </c>
      <c r="F24" s="124">
        <f>CENSO!C25</f>
        <v>97820</v>
      </c>
      <c r="G24" s="167">
        <f t="shared" si="2"/>
        <v>8.2824605224164927</v>
      </c>
      <c r="H24" s="303">
        <f>Datos!I$15*'FGP 60%'!G24%</f>
        <v>24918419.431064561</v>
      </c>
    </row>
    <row r="25" spans="2:8" x14ac:dyDescent="0.25">
      <c r="B25" s="147" t="s">
        <v>69</v>
      </c>
      <c r="C25" s="121">
        <v>3.5</v>
      </c>
      <c r="D25" s="302">
        <f t="shared" si="0"/>
        <v>151904358.06</v>
      </c>
      <c r="E25" s="166">
        <f t="shared" si="1"/>
        <v>3.3629397569958934</v>
      </c>
      <c r="F25" s="124">
        <f>CENSO!C26</f>
        <v>39718</v>
      </c>
      <c r="G25" s="167">
        <f t="shared" si="2"/>
        <v>3.3629397569958934</v>
      </c>
      <c r="H25" s="303">
        <f>Datos!I$15*'FGP 60%'!G25%</f>
        <v>10117662.880423455</v>
      </c>
    </row>
    <row r="26" spans="2:8" x14ac:dyDescent="0.25">
      <c r="B26" s="147" t="s">
        <v>70</v>
      </c>
      <c r="C26" s="121">
        <v>39</v>
      </c>
      <c r="D26" s="302">
        <f t="shared" si="0"/>
        <v>1692648561.24</v>
      </c>
      <c r="E26" s="166">
        <f t="shared" si="1"/>
        <v>35.020363236103471</v>
      </c>
      <c r="F26" s="124">
        <f>CENSO!C27</f>
        <v>413608</v>
      </c>
      <c r="G26" s="167">
        <f t="shared" si="2"/>
        <v>35.020363236103471</v>
      </c>
      <c r="H26" s="303">
        <f>Datos!I$15*'FGP 60%'!G26%</f>
        <v>105361455.98081939</v>
      </c>
    </row>
    <row r="27" spans="2:8" x14ac:dyDescent="0.25">
      <c r="B27" s="147" t="s">
        <v>71</v>
      </c>
      <c r="C27" s="121">
        <v>3.79</v>
      </c>
      <c r="D27" s="302">
        <f t="shared" si="0"/>
        <v>164490719.1564</v>
      </c>
      <c r="E27" s="166">
        <f t="shared" si="1"/>
        <v>2.5879513991786967</v>
      </c>
      <c r="F27" s="124">
        <f>CENSO!C28</f>
        <v>30565</v>
      </c>
      <c r="G27" s="167">
        <f t="shared" si="2"/>
        <v>2.5879513991786967</v>
      </c>
      <c r="H27" s="303">
        <f>Datos!I$15*'FGP 60%'!G27%</f>
        <v>7786050.8066907404</v>
      </c>
    </row>
    <row r="28" spans="2:8" x14ac:dyDescent="0.25">
      <c r="B28" s="147" t="s">
        <v>72</v>
      </c>
      <c r="C28" s="121">
        <v>3.1</v>
      </c>
      <c r="D28" s="383">
        <f t="shared" si="0"/>
        <v>134543859.99599999</v>
      </c>
      <c r="E28" s="166">
        <f t="shared" si="1"/>
        <v>4.8616061978747727</v>
      </c>
      <c r="F28" s="304">
        <f>CENSO!C29</f>
        <v>57418</v>
      </c>
      <c r="G28" s="167">
        <f t="shared" si="2"/>
        <v>4.8616061978747727</v>
      </c>
      <c r="H28" s="384">
        <f>Datos!I$15*'FGP 60%'!G28%</f>
        <v>14626516.120352332</v>
      </c>
    </row>
    <row r="29" spans="2:8" x14ac:dyDescent="0.25">
      <c r="B29" s="149" t="s">
        <v>73</v>
      </c>
      <c r="C29" s="150">
        <f>SUM(C9:C28)</f>
        <v>100</v>
      </c>
      <c r="D29" s="305">
        <f>Datos!I10</f>
        <v>4340124516</v>
      </c>
      <c r="E29" s="306">
        <f>SUM(E9:E28)</f>
        <v>100.00000000000001</v>
      </c>
      <c r="F29" s="264">
        <f>SUM(F9:F28)</f>
        <v>1181050</v>
      </c>
      <c r="G29" s="306">
        <f t="shared" si="2"/>
        <v>100.00000000000001</v>
      </c>
      <c r="H29" s="307">
        <f>SUM(H9:H28)</f>
        <v>300857690.34000003</v>
      </c>
    </row>
    <row r="30" spans="2:8" x14ac:dyDescent="0.25">
      <c r="B30" s="11"/>
      <c r="C30" s="78"/>
      <c r="D30" s="11"/>
      <c r="E30" s="11"/>
      <c r="F30" s="11"/>
      <c r="G30" s="11"/>
      <c r="H30" s="79"/>
    </row>
    <row r="31" spans="2:8" x14ac:dyDescent="0.25">
      <c r="B31" s="11" t="s">
        <v>260</v>
      </c>
      <c r="C31" s="11"/>
      <c r="D31" s="11"/>
      <c r="E31" s="11"/>
      <c r="F31" s="11"/>
      <c r="G31" s="11"/>
      <c r="H31" s="79"/>
    </row>
    <row r="34" spans="4:4" x14ac:dyDescent="0.25">
      <c r="D34" s="80"/>
    </row>
  </sheetData>
  <mergeCells count="5">
    <mergeCell ref="B3:H3"/>
    <mergeCell ref="B4:H4"/>
    <mergeCell ref="B5:B8"/>
    <mergeCell ref="E5:F5"/>
    <mergeCell ref="E6:F6"/>
  </mergeCells>
  <pageMargins left="0.70866141732283472" right="0.70866141732283472" top="0.74803149606299213" bottom="0.74803149606299213" header="0.31496062992125984" footer="0.31496062992125984"/>
  <pageSetup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N56"/>
  <sheetViews>
    <sheetView zoomScaleNormal="100" workbookViewId="0">
      <selection activeCell="Q48" sqref="Q48"/>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11"/>
      <c r="C2" s="11"/>
      <c r="D2" s="11"/>
      <c r="F2" s="270"/>
      <c r="G2" s="270" t="s">
        <v>261</v>
      </c>
    </row>
    <row r="3" spans="2:9" x14ac:dyDescent="0.25">
      <c r="B3" s="669" t="s">
        <v>0</v>
      </c>
      <c r="C3" s="669"/>
      <c r="D3" s="669"/>
      <c r="E3" s="669"/>
      <c r="F3" s="669"/>
      <c r="G3" s="669"/>
    </row>
    <row r="4" spans="2:9" x14ac:dyDescent="0.25">
      <c r="B4" s="858" t="s">
        <v>262</v>
      </c>
      <c r="C4" s="858"/>
      <c r="D4" s="858"/>
      <c r="E4" s="858"/>
      <c r="F4" s="858"/>
      <c r="G4" s="858"/>
      <c r="H4" s="308"/>
      <c r="I4" s="308"/>
    </row>
    <row r="5" spans="2:9" ht="15" customHeight="1" x14ac:dyDescent="0.25">
      <c r="B5" s="852" t="s">
        <v>93</v>
      </c>
      <c r="C5" s="859" t="s">
        <v>33</v>
      </c>
      <c r="D5" s="108"/>
      <c r="E5" s="852" t="s">
        <v>34</v>
      </c>
      <c r="F5" s="309"/>
      <c r="G5" s="852" t="s">
        <v>35</v>
      </c>
    </row>
    <row r="6" spans="2:9" ht="28.5" customHeight="1" x14ac:dyDescent="0.25">
      <c r="B6" s="853"/>
      <c r="C6" s="860"/>
      <c r="D6" s="25"/>
      <c r="E6" s="853"/>
      <c r="F6" s="310"/>
      <c r="G6" s="853"/>
    </row>
    <row r="7" spans="2:9" x14ac:dyDescent="0.25">
      <c r="B7" s="853"/>
      <c r="C7" s="25" t="s">
        <v>263</v>
      </c>
      <c r="D7" s="25"/>
      <c r="E7" s="297"/>
      <c r="F7" s="297"/>
      <c r="G7" s="25" t="s">
        <v>49</v>
      </c>
    </row>
    <row r="8" spans="2:9" x14ac:dyDescent="0.25">
      <c r="B8" s="854"/>
      <c r="C8" s="143" t="s">
        <v>80</v>
      </c>
      <c r="D8" s="143"/>
      <c r="E8" s="311" t="s">
        <v>264</v>
      </c>
      <c r="F8" s="297"/>
      <c r="G8" s="143" t="s">
        <v>265</v>
      </c>
    </row>
    <row r="9" spans="2:9" x14ac:dyDescent="0.25">
      <c r="B9" s="144" t="s">
        <v>53</v>
      </c>
      <c r="C9" s="312">
        <f>K36/H36</f>
        <v>1.122788691375491</v>
      </c>
      <c r="D9" s="313"/>
      <c r="E9" s="314">
        <f>C9/C$29%</f>
        <v>4.7947430769572916</v>
      </c>
      <c r="F9" s="314">
        <f>E9*0.3</f>
        <v>1.4384229230871874</v>
      </c>
      <c r="G9" s="315">
        <f>Datos!$I$16*'FGP 30%'!E9%</f>
        <v>7212676.6395353796</v>
      </c>
      <c r="H9" s="316"/>
      <c r="I9" s="317"/>
    </row>
    <row r="10" spans="2:9" x14ac:dyDescent="0.25">
      <c r="B10" s="147" t="s">
        <v>54</v>
      </c>
      <c r="C10" s="318">
        <f t="shared" ref="C10:C28" si="0">K37/H37</f>
        <v>1.4367173118213814</v>
      </c>
      <c r="D10" s="319"/>
      <c r="E10" s="320">
        <f t="shared" ref="E10:E28" si="1">C10/C$29%</f>
        <v>6.1353400130537059</v>
      </c>
      <c r="F10" s="320">
        <f t="shared" ref="F10:F28" si="2">E10*0.3</f>
        <v>1.8406020039161117</v>
      </c>
      <c r="G10" s="321">
        <f>Datos!$I$16*'FGP 30%'!E10%</f>
        <v>9229321.1288896184</v>
      </c>
      <c r="H10" s="316"/>
      <c r="I10" s="317"/>
    </row>
    <row r="11" spans="2:9" x14ac:dyDescent="0.25">
      <c r="B11" s="147" t="s">
        <v>55</v>
      </c>
      <c r="C11" s="318">
        <f t="shared" si="0"/>
        <v>0.28377447133461753</v>
      </c>
      <c r="D11" s="319"/>
      <c r="E11" s="320">
        <f t="shared" si="1"/>
        <v>1.2118270270268001</v>
      </c>
      <c r="F11" s="320">
        <f t="shared" si="2"/>
        <v>0.36354810810804</v>
      </c>
      <c r="G11" s="321">
        <f>Datos!$I$16*'FGP 30%'!E11%</f>
        <v>1822937.4022143595</v>
      </c>
      <c r="H11" s="316"/>
      <c r="I11" s="317"/>
    </row>
    <row r="12" spans="2:9" x14ac:dyDescent="0.25">
      <c r="B12" s="147" t="s">
        <v>56</v>
      </c>
      <c r="C12" s="318">
        <f t="shared" si="0"/>
        <v>1.2537913673688112</v>
      </c>
      <c r="D12" s="319"/>
      <c r="E12" s="320">
        <f t="shared" si="1"/>
        <v>5.3541753001411188</v>
      </c>
      <c r="F12" s="320">
        <f t="shared" si="2"/>
        <v>1.6062525900423357</v>
      </c>
      <c r="G12" s="321">
        <f>Datos!$I$16*'FGP 30%'!E12%</f>
        <v>8054224.0723796673</v>
      </c>
      <c r="H12" s="316"/>
      <c r="I12" s="322"/>
    </row>
    <row r="13" spans="2:9" x14ac:dyDescent="0.25">
      <c r="B13" s="147" t="s">
        <v>57</v>
      </c>
      <c r="C13" s="318">
        <f t="shared" si="0"/>
        <v>1.1015522734097474</v>
      </c>
      <c r="D13" s="319"/>
      <c r="E13" s="320">
        <f t="shared" si="1"/>
        <v>4.7040553377568903</v>
      </c>
      <c r="F13" s="320">
        <f t="shared" si="2"/>
        <v>1.4112166013270671</v>
      </c>
      <c r="G13" s="321">
        <f>Datos!$I$16*'FGP 30%'!E13%</f>
        <v>7076256.1207454344</v>
      </c>
      <c r="H13" s="316"/>
      <c r="I13" s="322"/>
    </row>
    <row r="14" spans="2:9" x14ac:dyDescent="0.25">
      <c r="B14" s="147" t="s">
        <v>58</v>
      </c>
      <c r="C14" s="318">
        <f t="shared" si="0"/>
        <v>0.50928085942253198</v>
      </c>
      <c r="D14" s="319"/>
      <c r="E14" s="320">
        <f t="shared" si="1"/>
        <v>2.1748267449608796</v>
      </c>
      <c r="F14" s="320">
        <f t="shared" si="2"/>
        <v>0.65244802348826381</v>
      </c>
      <c r="G14" s="321">
        <f>Datos!$I$16*'FGP 30%'!E14%</f>
        <v>3271566.7568929526</v>
      </c>
      <c r="H14" s="316"/>
      <c r="I14" s="317"/>
    </row>
    <row r="15" spans="2:9" x14ac:dyDescent="0.25">
      <c r="B15" s="147" t="s">
        <v>59</v>
      </c>
      <c r="C15" s="318">
        <f t="shared" si="0"/>
        <v>0.60011839810563028</v>
      </c>
      <c r="D15" s="319"/>
      <c r="E15" s="320">
        <f t="shared" si="1"/>
        <v>2.5627382576739772</v>
      </c>
      <c r="F15" s="320">
        <f t="shared" si="2"/>
        <v>0.76882147730219319</v>
      </c>
      <c r="G15" s="321">
        <f>Datos!$I$16*'FGP 30%'!E15%</f>
        <v>3855097.5657487432</v>
      </c>
      <c r="H15" s="316"/>
      <c r="I15" s="317"/>
    </row>
    <row r="16" spans="2:9" x14ac:dyDescent="0.25">
      <c r="B16" s="147" t="s">
        <v>60</v>
      </c>
      <c r="C16" s="318">
        <f t="shared" si="0"/>
        <v>0.89763200039358138</v>
      </c>
      <c r="D16" s="319"/>
      <c r="E16" s="320">
        <f t="shared" si="1"/>
        <v>3.8332367012619861</v>
      </c>
      <c r="F16" s="320">
        <f t="shared" si="2"/>
        <v>1.1499710103785958</v>
      </c>
      <c r="G16" s="321">
        <f>Datos!$I$16*'FGP 30%'!E16%</f>
        <v>5766293.7023410089</v>
      </c>
      <c r="H16" s="316"/>
      <c r="I16" s="317"/>
    </row>
    <row r="17" spans="2:9" x14ac:dyDescent="0.25">
      <c r="B17" s="147" t="s">
        <v>61</v>
      </c>
      <c r="C17" s="318">
        <f t="shared" si="0"/>
        <v>0.61823556415954184</v>
      </c>
      <c r="D17" s="319"/>
      <c r="E17" s="320">
        <f t="shared" si="1"/>
        <v>2.64010558171129</v>
      </c>
      <c r="F17" s="320">
        <f t="shared" si="2"/>
        <v>0.79203167451338696</v>
      </c>
      <c r="G17" s="321">
        <f>Datos!$I$16*'FGP 30%'!E17%</f>
        <v>3971480.3378370046</v>
      </c>
      <c r="H17" s="316"/>
      <c r="I17" s="317"/>
    </row>
    <row r="18" spans="2:9" x14ac:dyDescent="0.25">
      <c r="B18" s="147" t="s">
        <v>62</v>
      </c>
      <c r="C18" s="318">
        <f t="shared" si="0"/>
        <v>3.5528517773349826</v>
      </c>
      <c r="D18" s="319"/>
      <c r="E18" s="320">
        <f t="shared" si="1"/>
        <v>15.1720547184736</v>
      </c>
      <c r="F18" s="320">
        <f t="shared" si="2"/>
        <v>4.55161641554208</v>
      </c>
      <c r="G18" s="321">
        <f>Datos!$I$16*'FGP 30%'!E18%</f>
        <v>22823146.701560333</v>
      </c>
      <c r="H18" s="316"/>
      <c r="I18" s="317"/>
    </row>
    <row r="19" spans="2:9" x14ac:dyDescent="0.25">
      <c r="B19" s="147" t="s">
        <v>63</v>
      </c>
      <c r="C19" s="318">
        <f t="shared" si="0"/>
        <v>0.96690834983088403</v>
      </c>
      <c r="D19" s="319"/>
      <c r="E19" s="320">
        <f t="shared" si="1"/>
        <v>4.1290735754777925</v>
      </c>
      <c r="F19" s="320">
        <f t="shared" si="2"/>
        <v>1.2387220726433377</v>
      </c>
      <c r="G19" s="321">
        <f>Datos!$I$16*'FGP 30%'!E19%</f>
        <v>6211317.6958108721</v>
      </c>
      <c r="H19" s="316"/>
      <c r="I19" s="317"/>
    </row>
    <row r="20" spans="2:9" x14ac:dyDescent="0.25">
      <c r="B20" s="147" t="s">
        <v>64</v>
      </c>
      <c r="C20" s="318">
        <f t="shared" si="0"/>
        <v>1.4813402768463553</v>
      </c>
      <c r="D20" s="319"/>
      <c r="E20" s="320">
        <f t="shared" si="1"/>
        <v>6.3258973764028958</v>
      </c>
      <c r="F20" s="320">
        <f t="shared" si="2"/>
        <v>1.8977692129208688</v>
      </c>
      <c r="G20" s="321">
        <f>Datos!$I$16*'FGP 30%'!E20%</f>
        <v>9515974.3699622061</v>
      </c>
      <c r="H20" s="316"/>
      <c r="I20" s="317"/>
    </row>
    <row r="21" spans="2:9" x14ac:dyDescent="0.25">
      <c r="B21" s="147" t="s">
        <v>65</v>
      </c>
      <c r="C21" s="318">
        <f t="shared" si="0"/>
        <v>1.5794837068599616</v>
      </c>
      <c r="D21" s="319"/>
      <c r="E21" s="320">
        <f t="shared" si="1"/>
        <v>6.745007877979198</v>
      </c>
      <c r="F21" s="320">
        <f t="shared" si="2"/>
        <v>2.0235023633937592</v>
      </c>
      <c r="G21" s="321">
        <f>Datos!$I$16*'FGP 30%'!E21%</f>
        <v>10146437.457469631</v>
      </c>
      <c r="H21" s="316"/>
      <c r="I21" s="322"/>
    </row>
    <row r="22" spans="2:9" x14ac:dyDescent="0.25">
      <c r="B22" s="147" t="s">
        <v>66</v>
      </c>
      <c r="C22" s="318">
        <f t="shared" si="0"/>
        <v>1.6209685223669816</v>
      </c>
      <c r="D22" s="319"/>
      <c r="E22" s="320">
        <f t="shared" si="1"/>
        <v>6.9221641260595534</v>
      </c>
      <c r="F22" s="320">
        <f t="shared" si="2"/>
        <v>2.076649237817866</v>
      </c>
      <c r="G22" s="321">
        <f>Datos!$I$16*'FGP 30%'!E22%</f>
        <v>10412931.555603409</v>
      </c>
      <c r="H22" s="316"/>
      <c r="I22" s="317"/>
    </row>
    <row r="23" spans="2:9" x14ac:dyDescent="0.25">
      <c r="B23" s="147" t="s">
        <v>67</v>
      </c>
      <c r="C23" s="318">
        <f t="shared" si="0"/>
        <v>1.0887371475759464</v>
      </c>
      <c r="D23" s="319"/>
      <c r="E23" s="320">
        <f t="shared" si="1"/>
        <v>4.6493297813419252</v>
      </c>
      <c r="F23" s="320">
        <f t="shared" si="2"/>
        <v>1.3947989344025775</v>
      </c>
      <c r="G23" s="321">
        <f>Datos!$I$16*'FGP 30%'!E23%</f>
        <v>6993933.0982175451</v>
      </c>
      <c r="H23" s="316"/>
      <c r="I23" s="317"/>
    </row>
    <row r="24" spans="2:9" x14ac:dyDescent="0.25">
      <c r="B24" s="147" t="s">
        <v>68</v>
      </c>
      <c r="C24" s="318">
        <f t="shared" si="0"/>
        <v>1.0512093555529423</v>
      </c>
      <c r="D24" s="319"/>
      <c r="E24" s="320">
        <f t="shared" si="1"/>
        <v>4.4890715578863984</v>
      </c>
      <c r="F24" s="320">
        <f t="shared" si="2"/>
        <v>1.3467214673659196</v>
      </c>
      <c r="G24" s="321">
        <f>Datos!$I$16*'FGP 30%'!E24%</f>
        <v>6752858.5033834381</v>
      </c>
      <c r="H24" s="316"/>
      <c r="I24" s="322"/>
    </row>
    <row r="25" spans="2:9" x14ac:dyDescent="0.25">
      <c r="B25" s="147" t="s">
        <v>69</v>
      </c>
      <c r="C25" s="318">
        <f t="shared" si="0"/>
        <v>0.39536384554245124</v>
      </c>
      <c r="D25" s="319"/>
      <c r="E25" s="320">
        <f t="shared" si="1"/>
        <v>1.6883569240188554</v>
      </c>
      <c r="F25" s="320">
        <f t="shared" si="2"/>
        <v>0.50650707720565658</v>
      </c>
      <c r="G25" s="321">
        <f>Datos!$I$16*'FGP 30%'!E25%</f>
        <v>2539775.8231492988</v>
      </c>
      <c r="H25" s="316"/>
      <c r="I25" s="317"/>
    </row>
    <row r="26" spans="2:9" x14ac:dyDescent="0.25">
      <c r="B26" s="147" t="s">
        <v>70</v>
      </c>
      <c r="C26" s="318">
        <f t="shared" si="0"/>
        <v>1.8208914204075435</v>
      </c>
      <c r="D26" s="319"/>
      <c r="E26" s="320">
        <f t="shared" si="1"/>
        <v>7.7759124214141311</v>
      </c>
      <c r="F26" s="320">
        <f t="shared" si="2"/>
        <v>2.3327737264242394</v>
      </c>
      <c r="G26" s="321">
        <f>Datos!$I$16*'FGP 30%'!E26%</f>
        <v>11697215.256963864</v>
      </c>
      <c r="H26" s="316"/>
      <c r="I26" s="322"/>
    </row>
    <row r="27" spans="2:9" x14ac:dyDescent="0.25">
      <c r="B27" s="147" t="s">
        <v>71</v>
      </c>
      <c r="C27" s="318">
        <f t="shared" si="0"/>
        <v>1.1405792691891996</v>
      </c>
      <c r="D27" s="319"/>
      <c r="E27" s="320">
        <f t="shared" si="1"/>
        <v>4.8707157425733385</v>
      </c>
      <c r="F27" s="320">
        <f t="shared" si="2"/>
        <v>1.4612147227720016</v>
      </c>
      <c r="G27" s="321">
        <f>Datos!$I$16*'FGP 30%'!E27%</f>
        <v>7326961.4430664638</v>
      </c>
      <c r="H27" s="316"/>
      <c r="I27" s="317"/>
    </row>
    <row r="28" spans="2:9" x14ac:dyDescent="0.25">
      <c r="B28" s="147" t="s">
        <v>72</v>
      </c>
      <c r="C28" s="318">
        <f t="shared" si="0"/>
        <v>0.8948526641553074</v>
      </c>
      <c r="D28" s="319"/>
      <c r="E28" s="320">
        <f t="shared" si="1"/>
        <v>3.821367857828343</v>
      </c>
      <c r="F28" s="323">
        <f t="shared" si="2"/>
        <v>1.1464103573485029</v>
      </c>
      <c r="G28" s="385">
        <f>Datos!$I$16*'FGP 30%'!E28%</f>
        <v>5748439.5382287446</v>
      </c>
      <c r="H28" s="324"/>
      <c r="I28" s="317"/>
    </row>
    <row r="29" spans="2:9" x14ac:dyDescent="0.25">
      <c r="B29" s="149" t="s">
        <v>73</v>
      </c>
      <c r="C29" s="325">
        <f t="shared" ref="C29:E29" si="3">SUM(C9:C28)</f>
        <v>23.417077273053895</v>
      </c>
      <c r="D29" s="326"/>
      <c r="E29" s="327">
        <f t="shared" si="3"/>
        <v>99.999999999999986</v>
      </c>
      <c r="F29" s="328">
        <f>SUM(F9:F28)</f>
        <v>29.999999999999993</v>
      </c>
      <c r="G29" s="329">
        <f>SUM(G9:G28)</f>
        <v>150428845.17000002</v>
      </c>
    </row>
    <row r="30" spans="2:9" x14ac:dyDescent="0.25">
      <c r="B30" s="11"/>
      <c r="C30" s="11"/>
      <c r="D30" s="11"/>
    </row>
    <row r="31" spans="2:9" x14ac:dyDescent="0.25">
      <c r="B31" s="11" t="s">
        <v>231</v>
      </c>
      <c r="C31" s="11"/>
      <c r="D31" s="11"/>
    </row>
    <row r="34" spans="2:14" x14ac:dyDescent="0.25">
      <c r="B34" s="851" t="s">
        <v>21</v>
      </c>
      <c r="C34" s="274"/>
      <c r="D34" s="273"/>
      <c r="E34" s="273"/>
      <c r="F34" s="842">
        <v>2016</v>
      </c>
      <c r="G34" s="843"/>
      <c r="H34" s="844"/>
      <c r="I34" s="842">
        <v>2017</v>
      </c>
      <c r="J34" s="843"/>
      <c r="K34" s="844"/>
      <c r="L34" s="79"/>
      <c r="M34" s="79"/>
      <c r="N34" s="79"/>
    </row>
    <row r="35" spans="2:14" x14ac:dyDescent="0.25">
      <c r="B35" s="851"/>
      <c r="C35" s="271"/>
      <c r="D35" s="271"/>
      <c r="E35" s="271"/>
      <c r="F35" s="271" t="s">
        <v>176</v>
      </c>
      <c r="G35" s="271" t="s">
        <v>177</v>
      </c>
      <c r="H35" s="271" t="s">
        <v>178</v>
      </c>
      <c r="I35" s="271" t="s">
        <v>176</v>
      </c>
      <c r="J35" s="271" t="s">
        <v>177</v>
      </c>
      <c r="K35" s="271" t="s">
        <v>178</v>
      </c>
      <c r="L35" s="79"/>
      <c r="M35" s="79"/>
      <c r="N35" s="79"/>
    </row>
    <row r="36" spans="2:14" x14ac:dyDescent="0.25">
      <c r="B36" s="52" t="s">
        <v>156</v>
      </c>
      <c r="C36" s="264"/>
      <c r="D36" s="52"/>
      <c r="E36" s="52"/>
      <c r="F36" s="52">
        <v>2477398</v>
      </c>
      <c r="G36" s="52">
        <v>7110081</v>
      </c>
      <c r="H36" s="52">
        <f>SUM(F36:G36)</f>
        <v>9587479</v>
      </c>
      <c r="I36" s="52">
        <v>4600138</v>
      </c>
      <c r="J36" s="52">
        <v>6164575</v>
      </c>
      <c r="K36" s="264">
        <f t="shared" ref="K36:K55" si="4">I36+J36</f>
        <v>10764713</v>
      </c>
    </row>
    <row r="37" spans="2:14" x14ac:dyDescent="0.25">
      <c r="B37" s="52" t="s">
        <v>157</v>
      </c>
      <c r="C37" s="264"/>
      <c r="D37" s="52"/>
      <c r="E37" s="52"/>
      <c r="F37" s="52">
        <v>2240417</v>
      </c>
      <c r="G37" s="52">
        <v>1913057</v>
      </c>
      <c r="H37" s="52">
        <f t="shared" ref="H37:H55" si="5">SUM(F37:G37)</f>
        <v>4153474</v>
      </c>
      <c r="I37" s="52">
        <v>1868560</v>
      </c>
      <c r="J37" s="52">
        <v>4098808</v>
      </c>
      <c r="K37" s="264">
        <f>I37+J37</f>
        <v>5967368</v>
      </c>
    </row>
    <row r="38" spans="2:14" x14ac:dyDescent="0.25">
      <c r="B38" s="52" t="s">
        <v>158</v>
      </c>
      <c r="C38" s="264"/>
      <c r="D38" s="52"/>
      <c r="E38" s="52"/>
      <c r="F38" s="52">
        <v>2030546</v>
      </c>
      <c r="G38" s="52">
        <v>1753984</v>
      </c>
      <c r="H38" s="52">
        <f t="shared" si="5"/>
        <v>3784530</v>
      </c>
      <c r="I38" s="52">
        <v>272482</v>
      </c>
      <c r="J38" s="52">
        <v>801471</v>
      </c>
      <c r="K38" s="264">
        <f t="shared" si="4"/>
        <v>1073953</v>
      </c>
    </row>
    <row r="39" spans="2:14" x14ac:dyDescent="0.25">
      <c r="B39" s="52" t="s">
        <v>159</v>
      </c>
      <c r="C39" s="264"/>
      <c r="D39" s="52"/>
      <c r="E39" s="52"/>
      <c r="F39" s="52">
        <v>124077659</v>
      </c>
      <c r="G39" s="52">
        <v>90316627</v>
      </c>
      <c r="H39" s="52">
        <f t="shared" si="5"/>
        <v>214394286</v>
      </c>
      <c r="I39" s="52">
        <v>154339475</v>
      </c>
      <c r="J39" s="52">
        <v>114466230</v>
      </c>
      <c r="K39" s="264">
        <f>I39+J39</f>
        <v>268805705</v>
      </c>
    </row>
    <row r="40" spans="2:14" x14ac:dyDescent="0.25">
      <c r="B40" s="52" t="s">
        <v>160</v>
      </c>
      <c r="C40" s="264"/>
      <c r="D40" s="52"/>
      <c r="E40" s="52"/>
      <c r="F40" s="52">
        <v>13793249</v>
      </c>
      <c r="G40" s="52">
        <v>9341142</v>
      </c>
      <c r="H40" s="52">
        <f t="shared" si="5"/>
        <v>23134391</v>
      </c>
      <c r="I40" s="52">
        <v>15872814</v>
      </c>
      <c r="J40" s="52">
        <v>9610927</v>
      </c>
      <c r="K40" s="264">
        <f t="shared" si="4"/>
        <v>25483741</v>
      </c>
    </row>
    <row r="41" spans="2:14" x14ac:dyDescent="0.25">
      <c r="B41" s="52" t="s">
        <v>161</v>
      </c>
      <c r="C41" s="264"/>
      <c r="D41" s="52"/>
      <c r="E41" s="52"/>
      <c r="F41" s="52">
        <v>24800</v>
      </c>
      <c r="G41" s="52">
        <v>262835</v>
      </c>
      <c r="H41" s="52">
        <f t="shared" si="5"/>
        <v>287635</v>
      </c>
      <c r="I41" s="52">
        <v>23315</v>
      </c>
      <c r="J41" s="52">
        <v>123172</v>
      </c>
      <c r="K41" s="264">
        <f>I41+J41</f>
        <v>146487</v>
      </c>
    </row>
    <row r="42" spans="2:14" x14ac:dyDescent="0.25">
      <c r="B42" s="52" t="s">
        <v>162</v>
      </c>
      <c r="C42" s="264"/>
      <c r="D42" s="52"/>
      <c r="E42" s="52"/>
      <c r="F42" s="52">
        <v>13729</v>
      </c>
      <c r="G42" s="52">
        <v>48772</v>
      </c>
      <c r="H42" s="52">
        <f t="shared" si="5"/>
        <v>62501</v>
      </c>
      <c r="I42" s="52">
        <v>10148</v>
      </c>
      <c r="J42" s="52">
        <v>27360</v>
      </c>
      <c r="K42" s="264">
        <f>I42+J42</f>
        <v>37508</v>
      </c>
    </row>
    <row r="43" spans="2:14" x14ac:dyDescent="0.25">
      <c r="B43" s="52" t="s">
        <v>163</v>
      </c>
      <c r="C43" s="264"/>
      <c r="D43" s="52"/>
      <c r="E43" s="52"/>
      <c r="F43" s="52">
        <v>9586556</v>
      </c>
      <c r="G43" s="52">
        <v>4804367</v>
      </c>
      <c r="H43" s="52">
        <f t="shared" si="5"/>
        <v>14390923</v>
      </c>
      <c r="I43" s="52">
        <v>9995787</v>
      </c>
      <c r="J43" s="52">
        <v>2921966</v>
      </c>
      <c r="K43" s="264">
        <f t="shared" si="4"/>
        <v>12917753</v>
      </c>
    </row>
    <row r="44" spans="2:14" x14ac:dyDescent="0.25">
      <c r="B44" s="52" t="s">
        <v>164</v>
      </c>
      <c r="C44" s="264"/>
      <c r="D44" s="52"/>
      <c r="E44" s="52"/>
      <c r="F44" s="52">
        <v>1708915</v>
      </c>
      <c r="G44" s="52">
        <v>2497404</v>
      </c>
      <c r="H44" s="52">
        <f t="shared" si="5"/>
        <v>4206319</v>
      </c>
      <c r="I44" s="52">
        <v>1515005</v>
      </c>
      <c r="J44" s="52">
        <v>1085491</v>
      </c>
      <c r="K44" s="264">
        <f t="shared" si="4"/>
        <v>2600496</v>
      </c>
    </row>
    <row r="45" spans="2:14" x14ac:dyDescent="0.25">
      <c r="B45" s="52" t="s">
        <v>165</v>
      </c>
      <c r="C45" s="264"/>
      <c r="D45" s="52"/>
      <c r="E45" s="52"/>
      <c r="F45" s="52">
        <v>419998</v>
      </c>
      <c r="G45" s="52">
        <v>199300</v>
      </c>
      <c r="H45" s="52">
        <f t="shared" si="5"/>
        <v>619298</v>
      </c>
      <c r="I45" s="52">
        <v>2011785</v>
      </c>
      <c r="J45" s="52">
        <v>188489</v>
      </c>
      <c r="K45" s="264">
        <f>I45+J45</f>
        <v>2200274</v>
      </c>
    </row>
    <row r="46" spans="2:14" x14ac:dyDescent="0.25">
      <c r="B46" s="52" t="s">
        <v>166</v>
      </c>
      <c r="C46" s="264"/>
      <c r="D46" s="52"/>
      <c r="E46" s="52"/>
      <c r="F46" s="52">
        <v>1144848</v>
      </c>
      <c r="G46" s="52">
        <v>674614</v>
      </c>
      <c r="H46" s="52">
        <f t="shared" si="5"/>
        <v>1819462</v>
      </c>
      <c r="I46" s="52">
        <v>1207189</v>
      </c>
      <c r="J46" s="52">
        <v>552064</v>
      </c>
      <c r="K46" s="264">
        <f t="shared" si="4"/>
        <v>1759253</v>
      </c>
    </row>
    <row r="47" spans="2:14" x14ac:dyDescent="0.25">
      <c r="B47" s="52" t="s">
        <v>167</v>
      </c>
      <c r="C47" s="264"/>
      <c r="D47" s="52"/>
      <c r="E47" s="52"/>
      <c r="F47" s="52">
        <v>401966</v>
      </c>
      <c r="G47" s="52">
        <v>1491792</v>
      </c>
      <c r="H47" s="52">
        <f t="shared" si="5"/>
        <v>1893758</v>
      </c>
      <c r="I47" s="52">
        <v>443946</v>
      </c>
      <c r="J47" s="52">
        <v>2361354</v>
      </c>
      <c r="K47" s="264">
        <f t="shared" si="4"/>
        <v>2805300</v>
      </c>
    </row>
    <row r="48" spans="2:14" x14ac:dyDescent="0.25">
      <c r="B48" s="52" t="s">
        <v>168</v>
      </c>
      <c r="C48" s="264"/>
      <c r="D48" s="52"/>
      <c r="E48" s="52"/>
      <c r="F48" s="52">
        <v>2492004</v>
      </c>
      <c r="G48" s="52">
        <v>1508514</v>
      </c>
      <c r="H48" s="52">
        <f t="shared" si="5"/>
        <v>4000518</v>
      </c>
      <c r="I48" s="52">
        <v>4722861</v>
      </c>
      <c r="J48" s="52">
        <v>1595892</v>
      </c>
      <c r="K48" s="264">
        <f t="shared" si="4"/>
        <v>6318753</v>
      </c>
    </row>
    <row r="49" spans="2:11" x14ac:dyDescent="0.25">
      <c r="B49" s="52" t="s">
        <v>169</v>
      </c>
      <c r="C49" s="264"/>
      <c r="D49" s="52"/>
      <c r="E49" s="52"/>
      <c r="F49" s="52">
        <v>779421</v>
      </c>
      <c r="G49" s="52">
        <v>439921</v>
      </c>
      <c r="H49" s="52">
        <f t="shared" si="5"/>
        <v>1219342</v>
      </c>
      <c r="I49" s="52">
        <v>878681</v>
      </c>
      <c r="J49" s="52">
        <v>1097834</v>
      </c>
      <c r="K49" s="264">
        <f>I49+J49</f>
        <v>1976515</v>
      </c>
    </row>
    <row r="50" spans="2:11" x14ac:dyDescent="0.25">
      <c r="B50" s="52" t="s">
        <v>170</v>
      </c>
      <c r="C50" s="264"/>
      <c r="D50" s="52"/>
      <c r="E50" s="52"/>
      <c r="F50" s="52">
        <v>1947699</v>
      </c>
      <c r="G50" s="52">
        <v>2366954</v>
      </c>
      <c r="H50" s="52">
        <f t="shared" si="5"/>
        <v>4314653</v>
      </c>
      <c r="I50" s="52">
        <v>2361650</v>
      </c>
      <c r="J50" s="52">
        <v>2335873</v>
      </c>
      <c r="K50" s="264">
        <f t="shared" si="4"/>
        <v>4697523</v>
      </c>
    </row>
    <row r="51" spans="2:11" x14ac:dyDescent="0.25">
      <c r="B51" s="52" t="s">
        <v>171</v>
      </c>
      <c r="C51" s="264"/>
      <c r="D51" s="52"/>
      <c r="E51" s="52"/>
      <c r="F51" s="52">
        <v>4175631</v>
      </c>
      <c r="G51" s="52">
        <v>11054340</v>
      </c>
      <c r="H51" s="52">
        <f t="shared" si="5"/>
        <v>15229971</v>
      </c>
      <c r="I51" s="52">
        <v>4200863</v>
      </c>
      <c r="J51" s="52">
        <v>11809025</v>
      </c>
      <c r="K51" s="264">
        <f t="shared" si="4"/>
        <v>16009888</v>
      </c>
    </row>
    <row r="52" spans="2:11" x14ac:dyDescent="0.25">
      <c r="B52" s="52" t="s">
        <v>172</v>
      </c>
      <c r="C52" s="264"/>
      <c r="D52" s="52"/>
      <c r="E52" s="52"/>
      <c r="F52" s="52">
        <v>9857632</v>
      </c>
      <c r="G52" s="52">
        <v>1690991</v>
      </c>
      <c r="H52" s="52">
        <f t="shared" si="5"/>
        <v>11548623</v>
      </c>
      <c r="I52" s="52">
        <v>2916876</v>
      </c>
      <c r="J52" s="52">
        <v>1649032</v>
      </c>
      <c r="K52" s="264">
        <f t="shared" si="4"/>
        <v>4565908</v>
      </c>
    </row>
    <row r="53" spans="2:11" s="332" customFormat="1" x14ac:dyDescent="0.25">
      <c r="B53" s="330" t="s">
        <v>173</v>
      </c>
      <c r="C53" s="331"/>
      <c r="D53" s="330"/>
      <c r="E53" s="330"/>
      <c r="F53" s="52">
        <v>54315284</v>
      </c>
      <c r="G53" s="52">
        <v>132307345</v>
      </c>
      <c r="H53" s="52">
        <f t="shared" si="5"/>
        <v>186622629</v>
      </c>
      <c r="I53" s="52">
        <v>54817026</v>
      </c>
      <c r="J53" s="52">
        <v>285002518</v>
      </c>
      <c r="K53" s="331">
        <f>I53+J53</f>
        <v>339819544</v>
      </c>
    </row>
    <row r="54" spans="2:11" x14ac:dyDescent="0.25">
      <c r="B54" s="52" t="s">
        <v>174</v>
      </c>
      <c r="C54" s="264"/>
      <c r="D54" s="52"/>
      <c r="E54" s="52"/>
      <c r="F54" s="52">
        <v>830670</v>
      </c>
      <c r="G54" s="52">
        <v>835671</v>
      </c>
      <c r="H54" s="52">
        <f t="shared" si="5"/>
        <v>1666341</v>
      </c>
      <c r="I54" s="52">
        <v>824105</v>
      </c>
      <c r="J54" s="52">
        <v>1076489</v>
      </c>
      <c r="K54" s="264">
        <f t="shared" si="4"/>
        <v>1900594</v>
      </c>
    </row>
    <row r="55" spans="2:11" x14ac:dyDescent="0.25">
      <c r="B55" s="52" t="s">
        <v>175</v>
      </c>
      <c r="C55" s="264"/>
      <c r="D55" s="52"/>
      <c r="E55" s="52"/>
      <c r="F55" s="52">
        <v>11151231</v>
      </c>
      <c r="G55" s="52">
        <v>17809712</v>
      </c>
      <c r="H55" s="52">
        <f t="shared" si="5"/>
        <v>28960943</v>
      </c>
      <c r="I55" s="52">
        <v>8125909</v>
      </c>
      <c r="J55" s="52">
        <v>17789868</v>
      </c>
      <c r="K55" s="264">
        <f t="shared" si="4"/>
        <v>25915777</v>
      </c>
    </row>
    <row r="56" spans="2:11" x14ac:dyDescent="0.25">
      <c r="B56" s="149" t="s">
        <v>73</v>
      </c>
      <c r="C56" s="264"/>
      <c r="D56" s="264"/>
      <c r="E56" s="264"/>
      <c r="F56" s="264">
        <f>SUM(F36:F55)</f>
        <v>243469653</v>
      </c>
      <c r="G56" s="264">
        <f>SUM(G36:G55)</f>
        <v>288427423</v>
      </c>
      <c r="H56" s="333">
        <f>SUM(H36:H55)</f>
        <v>531897076</v>
      </c>
      <c r="I56" s="264">
        <f>SUM(I36:I55)</f>
        <v>271008615</v>
      </c>
      <c r="J56" s="264">
        <f>SUM(J36:J55)</f>
        <v>464758438</v>
      </c>
      <c r="K56" s="264">
        <f>I56+J56</f>
        <v>735767053</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11"/>
      <c r="C2" s="11"/>
      <c r="D2" s="11"/>
      <c r="E2" s="11"/>
      <c r="F2" s="11"/>
      <c r="G2" s="11"/>
      <c r="H2" s="11"/>
      <c r="I2" s="11"/>
      <c r="J2" s="11"/>
      <c r="K2" s="79"/>
      <c r="L2" s="79"/>
      <c r="M2" s="270" t="s">
        <v>266</v>
      </c>
      <c r="N2" s="11"/>
      <c r="O2" s="11"/>
      <c r="P2" s="11"/>
      <c r="Q2" s="11"/>
      <c r="R2" s="11"/>
      <c r="S2" s="11"/>
      <c r="T2" s="11"/>
      <c r="U2" s="11"/>
    </row>
    <row r="3" spans="2:21" x14ac:dyDescent="0.25">
      <c r="B3" s="669" t="s">
        <v>0</v>
      </c>
      <c r="C3" s="669"/>
      <c r="D3" s="669"/>
      <c r="E3" s="669"/>
      <c r="F3" s="669"/>
      <c r="G3" s="669"/>
      <c r="H3" s="669"/>
      <c r="I3" s="669"/>
      <c r="J3" s="669"/>
      <c r="K3" s="669"/>
      <c r="L3" s="669"/>
      <c r="M3" s="669"/>
      <c r="N3" s="11"/>
      <c r="O3" s="11"/>
      <c r="P3" s="11"/>
      <c r="Q3" s="11"/>
      <c r="R3" s="11"/>
      <c r="S3" s="11"/>
      <c r="T3" s="11"/>
      <c r="U3" s="11"/>
    </row>
    <row r="4" spans="2:21" ht="15.75" thickBot="1" x14ac:dyDescent="0.3">
      <c r="B4" s="727" t="s">
        <v>267</v>
      </c>
      <c r="C4" s="727"/>
      <c r="D4" s="727"/>
      <c r="E4" s="727"/>
      <c r="F4" s="727"/>
      <c r="G4" s="727"/>
      <c r="H4" s="727"/>
      <c r="I4" s="727"/>
      <c r="J4" s="727"/>
      <c r="K4" s="727"/>
      <c r="L4" s="727"/>
      <c r="M4" s="727"/>
      <c r="N4" s="11"/>
      <c r="O4" s="11"/>
      <c r="P4" s="11"/>
      <c r="Q4" s="11"/>
      <c r="R4" s="11"/>
      <c r="S4" s="11"/>
      <c r="T4" s="11"/>
      <c r="U4" s="11"/>
    </row>
    <row r="5" spans="2:21" x14ac:dyDescent="0.25">
      <c r="B5" s="861" t="s">
        <v>93</v>
      </c>
      <c r="C5" s="863" t="s">
        <v>268</v>
      </c>
      <c r="D5" s="863"/>
      <c r="E5" s="863" t="s">
        <v>269</v>
      </c>
      <c r="F5" s="863"/>
      <c r="G5" s="334" t="s">
        <v>270</v>
      </c>
      <c r="H5" s="334" t="s">
        <v>147</v>
      </c>
      <c r="I5" s="335"/>
      <c r="J5" s="335"/>
      <c r="K5" s="335" t="s">
        <v>37</v>
      </c>
      <c r="L5" s="335" t="s">
        <v>30</v>
      </c>
      <c r="M5" s="336" t="s">
        <v>92</v>
      </c>
      <c r="N5" s="151"/>
      <c r="O5" s="151"/>
      <c r="P5" s="151"/>
      <c r="Q5" s="157"/>
      <c r="R5" s="11"/>
      <c r="S5" s="11"/>
      <c r="T5" s="11"/>
      <c r="U5" s="11"/>
    </row>
    <row r="6" spans="2:21" x14ac:dyDescent="0.25">
      <c r="B6" s="862"/>
      <c r="C6" s="851" t="s">
        <v>78</v>
      </c>
      <c r="D6" s="851"/>
      <c r="E6" s="864" t="s">
        <v>142</v>
      </c>
      <c r="F6" s="864"/>
      <c r="G6" s="297" t="s">
        <v>271</v>
      </c>
      <c r="H6" s="297" t="s">
        <v>272</v>
      </c>
      <c r="I6" s="337"/>
      <c r="J6" s="337"/>
      <c r="K6" s="337" t="s">
        <v>43</v>
      </c>
      <c r="L6" s="337" t="s">
        <v>273</v>
      </c>
      <c r="M6" s="338" t="s">
        <v>274</v>
      </c>
      <c r="N6" s="151"/>
      <c r="O6" s="151"/>
      <c r="P6" s="151"/>
      <c r="Q6" s="157"/>
      <c r="R6" s="11"/>
      <c r="S6" s="121"/>
      <c r="T6" s="339"/>
      <c r="U6" s="11"/>
    </row>
    <row r="7" spans="2:21" x14ac:dyDescent="0.25">
      <c r="B7" s="862"/>
      <c r="C7" s="275" t="s">
        <v>147</v>
      </c>
      <c r="D7" s="275" t="s">
        <v>275</v>
      </c>
      <c r="E7" s="271" t="s">
        <v>147</v>
      </c>
      <c r="F7" s="271" t="s">
        <v>276</v>
      </c>
      <c r="G7" s="297"/>
      <c r="H7" s="297" t="s">
        <v>277</v>
      </c>
      <c r="I7" s="337"/>
      <c r="J7" s="337"/>
      <c r="K7" s="337" t="s">
        <v>51</v>
      </c>
      <c r="L7" s="337" t="s">
        <v>50</v>
      </c>
      <c r="M7" s="338" t="s">
        <v>278</v>
      </c>
      <c r="N7" s="151"/>
      <c r="O7" s="151"/>
      <c r="P7" s="151"/>
      <c r="Q7" s="157"/>
      <c r="R7" s="11"/>
      <c r="S7" s="121"/>
      <c r="T7" s="339"/>
      <c r="U7" s="11"/>
    </row>
    <row r="8" spans="2:21" x14ac:dyDescent="0.25">
      <c r="B8" s="862"/>
      <c r="C8" s="340" t="s">
        <v>279</v>
      </c>
      <c r="D8" s="340" t="s">
        <v>107</v>
      </c>
      <c r="E8" s="340" t="s">
        <v>81</v>
      </c>
      <c r="F8" s="340" t="s">
        <v>108</v>
      </c>
      <c r="G8" s="341" t="s">
        <v>155</v>
      </c>
      <c r="H8" s="341" t="s">
        <v>110</v>
      </c>
      <c r="I8" s="342"/>
      <c r="J8" s="342"/>
      <c r="K8" s="343"/>
      <c r="L8" s="343"/>
      <c r="M8" s="344"/>
      <c r="N8" s="11"/>
      <c r="O8" s="11"/>
      <c r="P8" s="11"/>
      <c r="Q8" s="11"/>
      <c r="R8" s="11"/>
      <c r="S8" s="121"/>
      <c r="T8" s="339"/>
      <c r="U8" s="11"/>
    </row>
    <row r="9" spans="2:21" x14ac:dyDescent="0.25">
      <c r="B9" s="154" t="s">
        <v>53</v>
      </c>
      <c r="C9" s="345">
        <f>'FGP 60%'!G9</f>
        <v>3.1589687142796663</v>
      </c>
      <c r="D9" s="302">
        <f>'FGP 60%'!H9</f>
        <v>9504000.3123449981</v>
      </c>
      <c r="E9" s="167">
        <v>6.3423828522887202</v>
      </c>
      <c r="F9" s="124">
        <f>'FGP 30%'!G9</f>
        <v>7212676.6395353796</v>
      </c>
      <c r="G9" s="146">
        <f t="shared" ref="G9:G28" si="0">D9+F9</f>
        <v>16716676.951880377</v>
      </c>
      <c r="H9" s="299">
        <f>G9/G$29%</f>
        <v>3.7042268351722081</v>
      </c>
      <c r="I9" s="388">
        <v>212240.17867414959</v>
      </c>
      <c r="J9" s="346">
        <f>I9-G9</f>
        <v>-16504436.773206227</v>
      </c>
      <c r="K9" s="347">
        <f>J9-H9</f>
        <v>-16504440.477433061</v>
      </c>
      <c r="L9" s="348">
        <f>K9/K$29*100</f>
        <v>3.6975240798981108</v>
      </c>
      <c r="M9" s="349">
        <f>D9+F9+K9</f>
        <v>212236.47444731556</v>
      </c>
      <c r="N9" s="339"/>
      <c r="O9" s="339"/>
      <c r="P9" s="339"/>
      <c r="Q9" s="339"/>
      <c r="R9" s="339"/>
      <c r="S9" s="121"/>
      <c r="T9" s="339"/>
      <c r="U9" s="350"/>
    </row>
    <row r="10" spans="2:21" x14ac:dyDescent="0.25">
      <c r="B10" s="154" t="s">
        <v>54</v>
      </c>
      <c r="C10" s="345">
        <f>'FGP 60%'!G10</f>
        <v>1.3507472164599297</v>
      </c>
      <c r="D10" s="302">
        <f>'FGP 60%'!H10</f>
        <v>4063826.8777731853</v>
      </c>
      <c r="E10" s="167">
        <v>4.8747369734108545</v>
      </c>
      <c r="F10" s="124">
        <f>'FGP 30%'!G10</f>
        <v>9229321.1288896184</v>
      </c>
      <c r="G10" s="148">
        <f t="shared" si="0"/>
        <v>13293148.006662805</v>
      </c>
      <c r="H10" s="166">
        <f t="shared" ref="H10:H28" si="1">G10/G$29%</f>
        <v>2.9456114819911887</v>
      </c>
      <c r="I10" s="388">
        <v>145867.37344216814</v>
      </c>
      <c r="J10" s="346">
        <f t="shared" ref="J10:K28" si="2">I10-G10</f>
        <v>-13147280.633220637</v>
      </c>
      <c r="K10" s="347">
        <f t="shared" si="2"/>
        <v>-13147283.57883212</v>
      </c>
      <c r="L10" s="348">
        <f t="shared" ref="L10:L28" si="3">K10/K$29*100</f>
        <v>2.9454132470864272</v>
      </c>
      <c r="M10" s="351">
        <f t="shared" ref="M10:M28" si="4">D10+F10+K10</f>
        <v>145864.42783068493</v>
      </c>
      <c r="N10" s="339"/>
      <c r="O10" s="339"/>
      <c r="P10" s="339"/>
      <c r="Q10" s="339"/>
      <c r="R10" s="339"/>
      <c r="S10" s="121"/>
      <c r="T10" s="339"/>
      <c r="U10" s="350"/>
    </row>
    <row r="11" spans="2:21" x14ac:dyDescent="0.25">
      <c r="B11" s="154" t="s">
        <v>55</v>
      </c>
      <c r="C11" s="345">
        <f>'FGP 60%'!G11</f>
        <v>1.0034291520257399</v>
      </c>
      <c r="D11" s="302">
        <f>'FGP 60%'!H11</f>
        <v>3018893.7709828885</v>
      </c>
      <c r="E11" s="167">
        <v>3.9787441024444163</v>
      </c>
      <c r="F11" s="124">
        <f>'FGP 30%'!G11</f>
        <v>1822937.4022143595</v>
      </c>
      <c r="G11" s="148">
        <f t="shared" si="0"/>
        <v>4841831.173197248</v>
      </c>
      <c r="H11" s="166">
        <f t="shared" si="1"/>
        <v>1.0728951103594266</v>
      </c>
      <c r="I11" s="388">
        <v>130448.22525879936</v>
      </c>
      <c r="J11" s="346">
        <f t="shared" si="2"/>
        <v>-4711382.9479384487</v>
      </c>
      <c r="K11" s="347">
        <f t="shared" si="2"/>
        <v>-4711384.0208335593</v>
      </c>
      <c r="L11" s="348">
        <f t="shared" si="3"/>
        <v>1.0555011477364955</v>
      </c>
      <c r="M11" s="351">
        <f t="shared" si="4"/>
        <v>130447.15236368868</v>
      </c>
      <c r="N11" s="339"/>
      <c r="O11" s="339"/>
      <c r="P11" s="339"/>
      <c r="Q11" s="339"/>
      <c r="R11" s="339"/>
      <c r="S11" s="121"/>
      <c r="T11" s="339"/>
      <c r="U11" s="350"/>
    </row>
    <row r="12" spans="2:21" x14ac:dyDescent="0.25">
      <c r="B12" s="154" t="s">
        <v>56</v>
      </c>
      <c r="C12" s="345">
        <f>'FGP 60%'!G12</f>
        <v>12.721730663392744</v>
      </c>
      <c r="D12" s="302">
        <f>'FGP 60%'!H12</f>
        <v>38274305.045158975</v>
      </c>
      <c r="E12" s="167">
        <v>4.7794922547559926</v>
      </c>
      <c r="F12" s="124">
        <f>'FGP 30%'!G12</f>
        <v>8054224.0723796673</v>
      </c>
      <c r="G12" s="148">
        <f t="shared" si="0"/>
        <v>46328529.117538646</v>
      </c>
      <c r="H12" s="166">
        <f t="shared" si="1"/>
        <v>10.265878875642203</v>
      </c>
      <c r="I12" s="388">
        <v>417649.23433316802</v>
      </c>
      <c r="J12" s="346">
        <f t="shared" si="2"/>
        <v>-45910879.883205481</v>
      </c>
      <c r="K12" s="347">
        <f t="shared" si="2"/>
        <v>-45910890.149084359</v>
      </c>
      <c r="L12" s="348">
        <f t="shared" si="3"/>
        <v>10.285512077062467</v>
      </c>
      <c r="M12" s="351">
        <f t="shared" si="4"/>
        <v>417638.96845428646</v>
      </c>
      <c r="N12" s="339"/>
      <c r="O12" s="339"/>
      <c r="P12" s="350"/>
      <c r="Q12" s="339"/>
      <c r="R12" s="350"/>
      <c r="S12" s="121"/>
      <c r="T12" s="339"/>
      <c r="U12" s="350"/>
    </row>
    <row r="13" spans="2:21" x14ac:dyDescent="0.25">
      <c r="B13" s="154" t="s">
        <v>57</v>
      </c>
      <c r="C13" s="345">
        <f>'FGP 60%'!G13</f>
        <v>6.3943101477498834</v>
      </c>
      <c r="D13" s="302">
        <f>'FGP 60%'!H13</f>
        <v>19237773.823696543</v>
      </c>
      <c r="E13" s="167">
        <v>4.8396147698123535</v>
      </c>
      <c r="F13" s="124">
        <f>'FGP 30%'!G13</f>
        <v>7076256.1207454344</v>
      </c>
      <c r="G13" s="148">
        <f t="shared" si="0"/>
        <v>26314029.944441978</v>
      </c>
      <c r="H13" s="166">
        <f t="shared" si="1"/>
        <v>5.8308918777522196</v>
      </c>
      <c r="I13" s="388">
        <v>277064.87231006427</v>
      </c>
      <c r="J13" s="346">
        <f t="shared" si="2"/>
        <v>-26036965.072131913</v>
      </c>
      <c r="K13" s="347">
        <f t="shared" si="2"/>
        <v>-26036970.903023791</v>
      </c>
      <c r="L13" s="348">
        <f t="shared" si="3"/>
        <v>5.833116670218085</v>
      </c>
      <c r="M13" s="351">
        <f t="shared" si="4"/>
        <v>277059.04141818732</v>
      </c>
      <c r="N13" s="339"/>
      <c r="O13" s="339"/>
      <c r="P13" s="339"/>
      <c r="Q13" s="339"/>
      <c r="R13" s="339"/>
      <c r="S13" s="121"/>
      <c r="T13" s="339"/>
      <c r="U13" s="350"/>
    </row>
    <row r="14" spans="2:21" x14ac:dyDescent="0.25">
      <c r="B14" s="154" t="s">
        <v>58</v>
      </c>
      <c r="C14" s="345">
        <f>'FGP 60%'!G14</f>
        <v>3.5996782524025233</v>
      </c>
      <c r="D14" s="302">
        <f>'FGP 60%'!H14</f>
        <v>10829908.849849507</v>
      </c>
      <c r="E14" s="167">
        <v>4.8859352991166247</v>
      </c>
      <c r="F14" s="124">
        <f>'FGP 30%'!G14</f>
        <v>3271566.7568929526</v>
      </c>
      <c r="G14" s="148">
        <f t="shared" si="0"/>
        <v>14101475.60674246</v>
      </c>
      <c r="H14" s="166">
        <f t="shared" si="1"/>
        <v>3.1247277499219752</v>
      </c>
      <c r="I14" s="388">
        <v>187736.37714703428</v>
      </c>
      <c r="J14" s="346">
        <f t="shared" si="2"/>
        <v>-13913739.229595426</v>
      </c>
      <c r="K14" s="347">
        <f t="shared" si="2"/>
        <v>-13913742.354323177</v>
      </c>
      <c r="L14" s="348">
        <f t="shared" si="3"/>
        <v>3.1171245984953044</v>
      </c>
      <c r="M14" s="351">
        <f t="shared" si="4"/>
        <v>187733.25241928361</v>
      </c>
      <c r="N14" s="339"/>
      <c r="O14" s="339"/>
      <c r="P14" s="339"/>
      <c r="Q14" s="339"/>
      <c r="R14" s="339"/>
      <c r="S14" s="121"/>
      <c r="T14" s="339"/>
      <c r="U14" s="350"/>
    </row>
    <row r="15" spans="2:21" x14ac:dyDescent="0.25">
      <c r="B15" s="154" t="s">
        <v>59</v>
      </c>
      <c r="C15" s="345">
        <f>'FGP 60%'!G15</f>
        <v>1.0680326827822699</v>
      </c>
      <c r="D15" s="302">
        <f>'FGP 60%'!H15</f>
        <v>3213258.4614950768</v>
      </c>
      <c r="E15" s="167">
        <v>4.009568855684738</v>
      </c>
      <c r="F15" s="124">
        <f>'FGP 30%'!G15</f>
        <v>3855097.5657487432</v>
      </c>
      <c r="G15" s="148">
        <f t="shared" si="0"/>
        <v>7068356.02724382</v>
      </c>
      <c r="H15" s="166">
        <f t="shared" si="1"/>
        <v>1.5662678744128391</v>
      </c>
      <c r="I15" s="388">
        <v>131008.64234565338</v>
      </c>
      <c r="J15" s="346">
        <f t="shared" si="2"/>
        <v>-6937347.3848981671</v>
      </c>
      <c r="K15" s="347">
        <f t="shared" si="2"/>
        <v>-6937348.9511660412</v>
      </c>
      <c r="L15" s="348">
        <f t="shared" si="3"/>
        <v>1.5541886944101875</v>
      </c>
      <c r="M15" s="351">
        <f t="shared" si="4"/>
        <v>131007.07607777882</v>
      </c>
      <c r="N15" s="339"/>
      <c r="O15" s="339"/>
      <c r="P15" s="339"/>
      <c r="Q15" s="339"/>
      <c r="R15" s="339"/>
      <c r="S15" s="121"/>
      <c r="T15" s="339"/>
      <c r="U15" s="350"/>
    </row>
    <row r="16" spans="2:21" x14ac:dyDescent="0.25">
      <c r="B16" s="154" t="s">
        <v>60</v>
      </c>
      <c r="C16" s="345">
        <f>'FGP 60%'!G16</f>
        <v>2.4906650861521529</v>
      </c>
      <c r="D16" s="302">
        <f>'FGP 60%'!H16</f>
        <v>7493357.4523021393</v>
      </c>
      <c r="E16" s="167">
        <v>7.5369203970102321</v>
      </c>
      <c r="F16" s="124">
        <f>'FGP 30%'!G16</f>
        <v>5766293.7023410089</v>
      </c>
      <c r="G16" s="148">
        <f t="shared" si="0"/>
        <v>13259651.154643148</v>
      </c>
      <c r="H16" s="166">
        <f t="shared" si="1"/>
        <v>2.9381889578554308</v>
      </c>
      <c r="I16" s="388">
        <v>205355.35681466889</v>
      </c>
      <c r="J16" s="346">
        <f t="shared" si="2"/>
        <v>-13054295.797828479</v>
      </c>
      <c r="K16" s="347">
        <f t="shared" si="2"/>
        <v>-13054298.736017436</v>
      </c>
      <c r="L16" s="348">
        <f t="shared" si="3"/>
        <v>2.9245816596210452</v>
      </c>
      <c r="M16" s="351">
        <f t="shared" si="4"/>
        <v>205352.41862571239</v>
      </c>
      <c r="N16" s="339"/>
      <c r="O16" s="339"/>
      <c r="P16" s="339"/>
      <c r="Q16" s="339"/>
      <c r="R16" s="339"/>
      <c r="S16" s="121"/>
      <c r="T16" s="339"/>
      <c r="U16" s="350"/>
    </row>
    <row r="17" spans="2:21" x14ac:dyDescent="0.25">
      <c r="B17" s="154" t="s">
        <v>61</v>
      </c>
      <c r="C17" s="345">
        <f>'FGP 60%'!G17</f>
        <v>1.5731764108208799</v>
      </c>
      <c r="D17" s="302">
        <f>'FGP 60%'!H17</f>
        <v>4733022.2145694094</v>
      </c>
      <c r="E17" s="167">
        <v>5.9361538809380185</v>
      </c>
      <c r="F17" s="124">
        <f>'FGP 30%'!G17</f>
        <v>3971480.3378370046</v>
      </c>
      <c r="G17" s="148">
        <f t="shared" si="0"/>
        <v>8704502.5524064135</v>
      </c>
      <c r="H17" s="166">
        <f t="shared" si="1"/>
        <v>1.9288194677843498</v>
      </c>
      <c r="I17" s="388">
        <v>162912.99120529165</v>
      </c>
      <c r="J17" s="346">
        <f t="shared" si="2"/>
        <v>-8541589.5612011217</v>
      </c>
      <c r="K17" s="347">
        <f t="shared" si="2"/>
        <v>-8541591.4900205899</v>
      </c>
      <c r="L17" s="348">
        <f t="shared" si="3"/>
        <v>1.9135904824030718</v>
      </c>
      <c r="M17" s="351">
        <f t="shared" si="4"/>
        <v>162911.06238582358</v>
      </c>
      <c r="N17" s="339"/>
      <c r="O17" s="339"/>
      <c r="P17" s="339"/>
      <c r="Q17" s="339"/>
      <c r="R17" s="339"/>
      <c r="S17" s="121"/>
      <c r="T17" s="339"/>
      <c r="U17" s="350"/>
    </row>
    <row r="18" spans="2:21" x14ac:dyDescent="0.25">
      <c r="B18" s="154" t="s">
        <v>62</v>
      </c>
      <c r="C18" s="345">
        <f>'FGP 60%'!G18</f>
        <v>1.212057067863342</v>
      </c>
      <c r="D18" s="302">
        <f>'FGP 60%'!H18</f>
        <v>3646566.8999763774</v>
      </c>
      <c r="E18" s="167">
        <v>4.8230792844533079</v>
      </c>
      <c r="F18" s="124">
        <f>'FGP 30%'!G18</f>
        <v>22823146.701560333</v>
      </c>
      <c r="G18" s="148">
        <f t="shared" si="0"/>
        <v>26469713.60153671</v>
      </c>
      <c r="H18" s="166">
        <f t="shared" si="1"/>
        <v>5.8653896180667617</v>
      </c>
      <c r="I18" s="388">
        <v>142227.96010683011</v>
      </c>
      <c r="J18" s="346">
        <f t="shared" si="2"/>
        <v>-26327485.641429879</v>
      </c>
      <c r="K18" s="347">
        <f t="shared" si="2"/>
        <v>-26327491.506819498</v>
      </c>
      <c r="L18" s="348">
        <f t="shared" si="3"/>
        <v>5.898202604498012</v>
      </c>
      <c r="M18" s="351">
        <f t="shared" si="4"/>
        <v>142222.09471721202</v>
      </c>
      <c r="N18" s="339"/>
      <c r="O18" s="339"/>
      <c r="P18" s="339"/>
      <c r="Q18" s="339"/>
      <c r="R18" s="339"/>
      <c r="S18" s="121"/>
      <c r="T18" s="339"/>
      <c r="U18" s="350"/>
    </row>
    <row r="19" spans="2:21" x14ac:dyDescent="0.25">
      <c r="B19" s="154" t="s">
        <v>63</v>
      </c>
      <c r="C19" s="345">
        <f>'FGP 60%'!G19</f>
        <v>2.8704119215951907</v>
      </c>
      <c r="D19" s="302">
        <f>'FGP 60%'!H19</f>
        <v>8635855.0105553027</v>
      </c>
      <c r="E19" s="167">
        <v>4.1063513873665975</v>
      </c>
      <c r="F19" s="124">
        <f>'FGP 30%'!G19</f>
        <v>6211317.6958108721</v>
      </c>
      <c r="G19" s="148">
        <f t="shared" si="0"/>
        <v>14847172.706366174</v>
      </c>
      <c r="H19" s="166">
        <f t="shared" si="1"/>
        <v>3.2899658062227246</v>
      </c>
      <c r="I19" s="388">
        <v>178100.70770568217</v>
      </c>
      <c r="J19" s="346">
        <f t="shared" si="2"/>
        <v>-14669071.998660492</v>
      </c>
      <c r="K19" s="347">
        <f t="shared" si="2"/>
        <v>-14669075.288626298</v>
      </c>
      <c r="L19" s="348">
        <f t="shared" si="3"/>
        <v>3.2863434045944655</v>
      </c>
      <c r="M19" s="351">
        <f t="shared" si="4"/>
        <v>178097.41773987561</v>
      </c>
      <c r="N19" s="339"/>
      <c r="O19" s="339"/>
      <c r="P19" s="339"/>
      <c r="Q19" s="339"/>
      <c r="R19" s="339"/>
      <c r="S19" s="121"/>
      <c r="T19" s="339"/>
      <c r="U19" s="350"/>
    </row>
    <row r="20" spans="2:21" x14ac:dyDescent="0.25">
      <c r="B20" s="154" t="s">
        <v>64</v>
      </c>
      <c r="C20" s="345">
        <f>'FGP 60%'!G20</f>
        <v>2.0950002116760511</v>
      </c>
      <c r="D20" s="302">
        <f>'FGP 60%'!H20</f>
        <v>6302969.2494666791</v>
      </c>
      <c r="E20" s="167">
        <v>5.2077346983143604</v>
      </c>
      <c r="F20" s="124">
        <f>'FGP 30%'!G20</f>
        <v>9515974.3699622061</v>
      </c>
      <c r="G20" s="148">
        <f t="shared" si="0"/>
        <v>15818943.619428884</v>
      </c>
      <c r="H20" s="166">
        <f t="shared" si="1"/>
        <v>3.5052992665849994</v>
      </c>
      <c r="I20" s="388">
        <v>166912.25078355873</v>
      </c>
      <c r="J20" s="346">
        <f t="shared" si="2"/>
        <v>-15652031.368645325</v>
      </c>
      <c r="K20" s="347">
        <f t="shared" si="2"/>
        <v>-15652034.873944592</v>
      </c>
      <c r="L20" s="348">
        <f t="shared" si="3"/>
        <v>3.5065578821013292</v>
      </c>
      <c r="M20" s="351">
        <f t="shared" si="4"/>
        <v>166908.74548429251</v>
      </c>
      <c r="N20" s="339"/>
      <c r="O20" s="339"/>
      <c r="P20" s="339"/>
      <c r="Q20" s="339"/>
      <c r="R20" s="339"/>
      <c r="S20" s="121"/>
      <c r="T20" s="339"/>
      <c r="U20" s="339"/>
    </row>
    <row r="21" spans="2:21" x14ac:dyDescent="0.25">
      <c r="B21" s="154" t="s">
        <v>65</v>
      </c>
      <c r="C21" s="345">
        <f>'FGP 60%'!G21</f>
        <v>3.7237204182718768</v>
      </c>
      <c r="D21" s="302">
        <f>'FGP 60%'!H21</f>
        <v>11203099.245131757</v>
      </c>
      <c r="E21" s="167">
        <v>4.8186763914888475</v>
      </c>
      <c r="F21" s="124">
        <f>'FGP 30%'!G21</f>
        <v>10146437.457469631</v>
      </c>
      <c r="G21" s="148">
        <f t="shared" si="0"/>
        <v>21349536.702601388</v>
      </c>
      <c r="H21" s="166">
        <f t="shared" si="1"/>
        <v>4.7308162381743175</v>
      </c>
      <c r="I21" s="388">
        <v>208036.45988467679</v>
      </c>
      <c r="J21" s="346">
        <f t="shared" si="2"/>
        <v>-21141500.242716711</v>
      </c>
      <c r="K21" s="347">
        <f t="shared" si="2"/>
        <v>-21141504.973532949</v>
      </c>
      <c r="L21" s="348">
        <f t="shared" si="3"/>
        <v>4.736375270146798</v>
      </c>
      <c r="M21" s="351">
        <f t="shared" si="4"/>
        <v>208031.72906843945</v>
      </c>
      <c r="N21" s="339"/>
      <c r="O21" s="339"/>
      <c r="P21" s="339"/>
      <c r="Q21" s="339"/>
      <c r="R21" s="339"/>
      <c r="S21" s="121"/>
      <c r="T21" s="339"/>
      <c r="U21" s="339"/>
    </row>
    <row r="22" spans="2:21" x14ac:dyDescent="0.25">
      <c r="B22" s="154" t="s">
        <v>66</v>
      </c>
      <c r="C22" s="345">
        <f>'FGP 60%'!G22</f>
        <v>0.63494348249439059</v>
      </c>
      <c r="D22" s="302">
        <f>'FGP 60%'!H22</f>
        <v>1910276.2963969859</v>
      </c>
      <c r="E22" s="167">
        <v>2.9110739805529704</v>
      </c>
      <c r="F22" s="124">
        <f>'FGP 30%'!G22</f>
        <v>10412931.555603409</v>
      </c>
      <c r="G22" s="148">
        <f t="shared" si="0"/>
        <v>12323207.852000395</v>
      </c>
      <c r="H22" s="166">
        <f t="shared" si="1"/>
        <v>2.7306836970161115</v>
      </c>
      <c r="I22" s="388">
        <v>121434.25160385661</v>
      </c>
      <c r="J22" s="346">
        <f t="shared" si="2"/>
        <v>-12201773.600396538</v>
      </c>
      <c r="K22" s="347">
        <f t="shared" si="2"/>
        <v>-12201776.331080236</v>
      </c>
      <c r="L22" s="348">
        <f t="shared" si="3"/>
        <v>2.7335892945531075</v>
      </c>
      <c r="M22" s="351">
        <f t="shared" si="4"/>
        <v>121431.5209201593</v>
      </c>
      <c r="N22" s="339"/>
      <c r="O22" s="339"/>
      <c r="P22" s="339"/>
      <c r="Q22" s="339"/>
      <c r="R22" s="339"/>
      <c r="S22" s="121"/>
      <c r="T22" s="339"/>
      <c r="U22" s="350"/>
    </row>
    <row r="23" spans="2:21" x14ac:dyDescent="0.25">
      <c r="B23" s="154" t="s">
        <v>67</v>
      </c>
      <c r="C23" s="345">
        <f>'FGP 60%'!G23</f>
        <v>1.9878074594640365</v>
      </c>
      <c r="D23" s="302">
        <f>'FGP 60%'!H23</f>
        <v>5980471.6109497324</v>
      </c>
      <c r="E23" s="167">
        <v>4.3304906658341711</v>
      </c>
      <c r="F23" s="124">
        <f>'FGP 30%'!G23</f>
        <v>6993933.0982175451</v>
      </c>
      <c r="G23" s="148">
        <f t="shared" si="0"/>
        <v>12974404.709167277</v>
      </c>
      <c r="H23" s="166">
        <f t="shared" si="1"/>
        <v>2.8749815667566661</v>
      </c>
      <c r="I23" s="388">
        <v>154393.13551406987</v>
      </c>
      <c r="J23" s="346">
        <f t="shared" si="2"/>
        <v>-12820011.573653208</v>
      </c>
      <c r="K23" s="347">
        <f t="shared" si="2"/>
        <v>-12820014.448634775</v>
      </c>
      <c r="L23" s="348">
        <f t="shared" si="3"/>
        <v>2.8720944641100172</v>
      </c>
      <c r="M23" s="351">
        <f t="shared" si="4"/>
        <v>154390.26053250208</v>
      </c>
      <c r="N23" s="339"/>
      <c r="O23" s="339"/>
      <c r="P23" s="339"/>
      <c r="Q23" s="339"/>
      <c r="R23" s="339"/>
      <c r="S23" s="121"/>
      <c r="T23" s="339"/>
      <c r="U23" s="350"/>
    </row>
    <row r="24" spans="2:21" x14ac:dyDescent="0.25">
      <c r="B24" s="154" t="s">
        <v>68</v>
      </c>
      <c r="C24" s="345">
        <f>'FGP 60%'!G24</f>
        <v>8.2824605224164927</v>
      </c>
      <c r="D24" s="302">
        <f>'FGP 60%'!H24</f>
        <v>24918419.431064561</v>
      </c>
      <c r="E24" s="167">
        <v>5.3086882085256404</v>
      </c>
      <c r="F24" s="124">
        <f>'FGP 30%'!G24</f>
        <v>6752858.5033834381</v>
      </c>
      <c r="G24" s="148">
        <f t="shared" si="0"/>
        <v>31671277.934448</v>
      </c>
      <c r="H24" s="166">
        <f t="shared" si="1"/>
        <v>7.0179975342397949</v>
      </c>
      <c r="I24" s="388">
        <v>342815.93253579823</v>
      </c>
      <c r="J24" s="346">
        <f t="shared" si="2"/>
        <v>-31328462.001912203</v>
      </c>
      <c r="K24" s="347">
        <f t="shared" si="2"/>
        <v>-31328469.019909736</v>
      </c>
      <c r="L24" s="348">
        <f t="shared" si="3"/>
        <v>7.0185819837907335</v>
      </c>
      <c r="M24" s="351">
        <f t="shared" si="4"/>
        <v>342808.91453826427</v>
      </c>
      <c r="N24" s="339"/>
      <c r="O24" s="339"/>
      <c r="P24" s="339"/>
      <c r="Q24" s="339"/>
      <c r="R24" s="350"/>
      <c r="S24" s="121"/>
      <c r="T24" s="339"/>
      <c r="U24" s="339"/>
    </row>
    <row r="25" spans="2:21" x14ac:dyDescent="0.25">
      <c r="B25" s="154" t="s">
        <v>69</v>
      </c>
      <c r="C25" s="345">
        <f>'FGP 60%'!G25</f>
        <v>3.3629397569958934</v>
      </c>
      <c r="D25" s="302">
        <f>'FGP 60%'!H25</f>
        <v>10117662.880423455</v>
      </c>
      <c r="E25" s="167">
        <v>4.864796565169633</v>
      </c>
      <c r="F25" s="124">
        <f>'FGP 30%'!G25</f>
        <v>2539775.8231492988</v>
      </c>
      <c r="G25" s="148">
        <f t="shared" si="0"/>
        <v>12657438.703572754</v>
      </c>
      <c r="H25" s="166">
        <f t="shared" si="1"/>
        <v>2.8047454793368809</v>
      </c>
      <c r="I25" s="388">
        <v>200479.78722284615</v>
      </c>
      <c r="J25" s="346">
        <f t="shared" si="2"/>
        <v>-12456958.916349908</v>
      </c>
      <c r="K25" s="347">
        <f t="shared" si="2"/>
        <v>-12456961.721095387</v>
      </c>
      <c r="L25" s="348">
        <f t="shared" si="3"/>
        <v>2.7907590074985027</v>
      </c>
      <c r="M25" s="351">
        <f t="shared" si="4"/>
        <v>200476.98247736692</v>
      </c>
      <c r="N25" s="339"/>
      <c r="O25" s="339"/>
      <c r="P25" s="339"/>
      <c r="Q25" s="339"/>
      <c r="R25" s="339"/>
      <c r="S25" s="121"/>
      <c r="T25" s="339"/>
      <c r="U25" s="350"/>
    </row>
    <row r="26" spans="2:21" x14ac:dyDescent="0.25">
      <c r="B26" s="154" t="s">
        <v>70</v>
      </c>
      <c r="C26" s="345">
        <f>'FGP 60%'!G26</f>
        <v>35.020363236103471</v>
      </c>
      <c r="D26" s="302">
        <f>'FGP 60%'!H26</f>
        <v>105361455.98081939</v>
      </c>
      <c r="E26" s="167">
        <v>5.7978942563195188</v>
      </c>
      <c r="F26" s="124">
        <f>'FGP 30%'!G26</f>
        <v>11697215.256963864</v>
      </c>
      <c r="G26" s="148">
        <f t="shared" si="0"/>
        <v>117058671.23778325</v>
      </c>
      <c r="H26" s="352">
        <f t="shared" si="1"/>
        <v>25.938879631207026</v>
      </c>
      <c r="I26" s="388">
        <v>1123889.5444337416</v>
      </c>
      <c r="J26" s="346">
        <f t="shared" si="2"/>
        <v>-115934781.69334951</v>
      </c>
      <c r="K26" s="347">
        <f t="shared" si="2"/>
        <v>-115934807.63222913</v>
      </c>
      <c r="L26" s="348">
        <f t="shared" si="3"/>
        <v>25.973115750555507</v>
      </c>
      <c r="M26" s="351">
        <f t="shared" si="4"/>
        <v>1123863.6055541188</v>
      </c>
      <c r="N26" s="339"/>
      <c r="O26" s="339"/>
      <c r="P26" s="350"/>
      <c r="Q26" s="339"/>
      <c r="R26" s="350"/>
      <c r="S26" s="121"/>
      <c r="T26" s="339"/>
      <c r="U26" s="339"/>
    </row>
    <row r="27" spans="2:21" x14ac:dyDescent="0.25">
      <c r="B27" s="154" t="s">
        <v>71</v>
      </c>
      <c r="C27" s="345">
        <f>'FGP 60%'!G27</f>
        <v>2.5879513991786967</v>
      </c>
      <c r="D27" s="302">
        <f>'FGP 60%'!H27</f>
        <v>7786050.8066907404</v>
      </c>
      <c r="E27" s="167">
        <v>4.8271447622480794</v>
      </c>
      <c r="F27" s="124">
        <f>'FGP 30%'!G27</f>
        <v>7326961.4430664638</v>
      </c>
      <c r="G27" s="148">
        <f t="shared" si="0"/>
        <v>15113012.249757204</v>
      </c>
      <c r="H27" s="166">
        <f t="shared" si="1"/>
        <v>3.3488728469769105</v>
      </c>
      <c r="I27" s="388">
        <v>177060.44640841757</v>
      </c>
      <c r="J27" s="346">
        <f t="shared" si="2"/>
        <v>-14935951.803348787</v>
      </c>
      <c r="K27" s="347">
        <f t="shared" si="2"/>
        <v>-14935955.152221635</v>
      </c>
      <c r="L27" s="348">
        <f t="shared" si="3"/>
        <v>3.3461330547454629</v>
      </c>
      <c r="M27" s="351">
        <f t="shared" si="4"/>
        <v>177057.09753556922</v>
      </c>
      <c r="N27" s="339"/>
      <c r="O27" s="339"/>
      <c r="P27" s="339"/>
      <c r="Q27" s="339"/>
      <c r="R27" s="339"/>
      <c r="S27" s="121"/>
      <c r="T27" s="339"/>
      <c r="U27" s="339"/>
    </row>
    <row r="28" spans="2:21" ht="15.75" thickBot="1" x14ac:dyDescent="0.3">
      <c r="B28" s="155" t="s">
        <v>72</v>
      </c>
      <c r="C28" s="353">
        <f>'FGP 60%'!G28</f>
        <v>4.8616061978747727</v>
      </c>
      <c r="D28" s="354">
        <f>'FGP 60%'!H28</f>
        <v>14626516.120352332</v>
      </c>
      <c r="E28" s="355">
        <v>5.8205204142649469</v>
      </c>
      <c r="F28" s="356">
        <f>'FGP 30%'!G28</f>
        <v>5748439.5382287446</v>
      </c>
      <c r="G28" s="357">
        <f t="shared" si="0"/>
        <v>20374955.658581078</v>
      </c>
      <c r="H28" s="358">
        <f t="shared" si="1"/>
        <v>4.5148600845259628</v>
      </c>
      <c r="I28" s="389">
        <v>236350.17226942629</v>
      </c>
      <c r="J28" s="359">
        <f t="shared" si="2"/>
        <v>-20138605.486311652</v>
      </c>
      <c r="K28" s="360">
        <f t="shared" si="2"/>
        <v>-20138610.001171738</v>
      </c>
      <c r="L28" s="361">
        <f t="shared" si="3"/>
        <v>4.5116946264748909</v>
      </c>
      <c r="M28" s="362">
        <f t="shared" si="4"/>
        <v>236345.65740934014</v>
      </c>
      <c r="N28" s="339"/>
      <c r="O28" s="339"/>
      <c r="P28" s="339"/>
      <c r="Q28" s="339"/>
      <c r="R28" s="339"/>
      <c r="S28" s="121"/>
      <c r="T28" s="339"/>
      <c r="U28" s="350"/>
    </row>
    <row r="29" spans="2:21" ht="15.75" thickBot="1" x14ac:dyDescent="0.3">
      <c r="B29" s="363" t="s">
        <v>73</v>
      </c>
      <c r="C29" s="364">
        <f t="shared" ref="C29:M29" si="5">SUM(C9:C28)</f>
        <v>100.00000000000001</v>
      </c>
      <c r="D29" s="365">
        <f t="shared" si="5"/>
        <v>300857690.34000003</v>
      </c>
      <c r="E29" s="386">
        <f t="shared" si="5"/>
        <v>100.00000000000003</v>
      </c>
      <c r="F29" s="68">
        <f t="shared" si="5"/>
        <v>150428845.17000002</v>
      </c>
      <c r="G29" s="69">
        <f t="shared" si="5"/>
        <v>451286535.50999999</v>
      </c>
      <c r="H29" s="387">
        <f>SUM(H9:H28)</f>
        <v>100.00000000000001</v>
      </c>
      <c r="I29" s="366"/>
      <c r="J29" s="367">
        <f>SUM(J9:J28)</f>
        <v>-446364551.61000013</v>
      </c>
      <c r="K29" s="368">
        <f t="shared" si="5"/>
        <v>-446364651.61000001</v>
      </c>
      <c r="L29" s="369">
        <f>SUM(L9:L28)</f>
        <v>100.00000000000003</v>
      </c>
      <c r="M29" s="370">
        <f t="shared" si="5"/>
        <v>4921883.8999999017</v>
      </c>
      <c r="N29" s="339"/>
      <c r="O29" s="339"/>
      <c r="P29" s="339"/>
      <c r="Q29" s="339"/>
      <c r="R29" s="339"/>
      <c r="S29" s="371"/>
      <c r="T29" s="339"/>
      <c r="U29" s="339"/>
    </row>
    <row r="30" spans="2:21" x14ac:dyDescent="0.25">
      <c r="B30" s="11" t="s">
        <v>280</v>
      </c>
      <c r="C30" s="11"/>
      <c r="D30" s="11"/>
      <c r="E30" s="11"/>
      <c r="F30" s="11"/>
      <c r="G30" s="11"/>
      <c r="H30" s="11"/>
      <c r="I30" s="11"/>
      <c r="J30" s="11"/>
      <c r="K30" s="79"/>
      <c r="L30" s="79"/>
      <c r="M30" s="339"/>
      <c r="N30" s="11"/>
      <c r="O30" s="11"/>
      <c r="P30" s="11"/>
      <c r="Q30" s="11"/>
      <c r="R30" s="11"/>
      <c r="S30" s="11"/>
      <c r="T30" s="11"/>
      <c r="U30" s="11"/>
    </row>
    <row r="31" spans="2:21" x14ac:dyDescent="0.25">
      <c r="B31" s="11" t="s">
        <v>281</v>
      </c>
      <c r="C31" s="11"/>
      <c r="D31" s="11"/>
      <c r="E31" s="11"/>
      <c r="F31" s="339"/>
      <c r="G31" s="11"/>
      <c r="H31" s="11"/>
      <c r="I31" s="11"/>
      <c r="J31" s="11"/>
      <c r="K31" s="79"/>
      <c r="L31" s="79"/>
      <c r="M31" s="11"/>
      <c r="N31" s="11"/>
      <c r="O31" s="11"/>
      <c r="P31" s="11"/>
      <c r="Q31" s="11"/>
      <c r="R31" s="11"/>
      <c r="S31" s="11"/>
      <c r="T31" s="11"/>
      <c r="U31" s="11"/>
    </row>
    <row r="32" spans="2:21" x14ac:dyDescent="0.25">
      <c r="B32" s="11"/>
      <c r="C32" s="11"/>
      <c r="D32" s="372"/>
      <c r="E32" s="11"/>
      <c r="F32" s="11"/>
      <c r="G32" s="11"/>
      <c r="H32" s="11"/>
      <c r="I32" s="139">
        <f>SUM(I9:I28)</f>
        <v>4921983.8999999026</v>
      </c>
      <c r="J32" s="11"/>
      <c r="K32" s="79"/>
      <c r="L32" s="79"/>
      <c r="M32" s="11"/>
      <c r="N32" s="11"/>
      <c r="O32" s="11"/>
      <c r="P32" s="11"/>
      <c r="Q32" s="11"/>
      <c r="R32" s="11"/>
      <c r="S32" s="11"/>
      <c r="T32" s="11"/>
      <c r="U32" s="11"/>
    </row>
    <row r="33" spans="2:6" hidden="1" x14ac:dyDescent="0.25">
      <c r="B33" s="11"/>
      <c r="C33" s="11"/>
      <c r="D33" s="11"/>
      <c r="E33" s="11"/>
      <c r="F33" s="11"/>
    </row>
    <row r="34" spans="2:6" hidden="1" x14ac:dyDescent="0.25">
      <c r="B34" s="790" t="s">
        <v>282</v>
      </c>
      <c r="C34" s="790"/>
      <c r="D34" s="790"/>
      <c r="E34" s="11"/>
      <c r="F34" s="11"/>
    </row>
    <row r="35" spans="2:6" ht="15" hidden="1" customHeight="1" x14ac:dyDescent="0.25">
      <c r="B35" s="865" t="s">
        <v>283</v>
      </c>
      <c r="C35" s="664" t="s">
        <v>32</v>
      </c>
      <c r="D35" s="664"/>
      <c r="E35" s="11"/>
      <c r="F35" s="11"/>
    </row>
    <row r="36" spans="2:6" hidden="1" x14ac:dyDescent="0.25">
      <c r="B36" s="865"/>
      <c r="C36" s="271" t="s">
        <v>284</v>
      </c>
      <c r="D36" s="271" t="s">
        <v>285</v>
      </c>
      <c r="E36" s="11"/>
      <c r="F36" s="11"/>
    </row>
    <row r="37" spans="2:6" hidden="1" x14ac:dyDescent="0.25">
      <c r="B37" s="373" t="s">
        <v>53</v>
      </c>
      <c r="C37" s="214">
        <v>29974.498347254703</v>
      </c>
      <c r="D37" s="214">
        <v>15215.818184990858</v>
      </c>
      <c r="E37" s="147"/>
      <c r="F37" s="148"/>
    </row>
    <row r="38" spans="2:6" hidden="1" x14ac:dyDescent="0.25">
      <c r="B38" s="373" t="s">
        <v>54</v>
      </c>
      <c r="C38" s="214">
        <v>52680.591327376627</v>
      </c>
      <c r="D38" s="214">
        <v>21399.49763849939</v>
      </c>
      <c r="E38" s="147"/>
      <c r="F38" s="148"/>
    </row>
    <row r="39" spans="2:6" hidden="1" x14ac:dyDescent="0.25">
      <c r="B39" s="373" t="s">
        <v>55</v>
      </c>
      <c r="C39" s="214">
        <v>98033.370647845295</v>
      </c>
      <c r="D39" s="214">
        <v>21647.119796160252</v>
      </c>
      <c r="E39" s="147"/>
      <c r="F39" s="148"/>
    </row>
    <row r="40" spans="2:6" hidden="1" x14ac:dyDescent="0.25">
      <c r="B40" s="373" t="s">
        <v>56</v>
      </c>
      <c r="C40" s="214">
        <v>21399.49763849939</v>
      </c>
      <c r="D40" s="214">
        <v>25965.384823886736</v>
      </c>
      <c r="E40" s="147"/>
      <c r="F40" s="148"/>
    </row>
    <row r="41" spans="2:6" hidden="1" x14ac:dyDescent="0.25">
      <c r="B41" s="373" t="s">
        <v>57</v>
      </c>
      <c r="C41" s="214">
        <v>25965.384823886736</v>
      </c>
      <c r="D41" s="214">
        <v>27212.070679317905</v>
      </c>
      <c r="E41" s="147"/>
      <c r="F41" s="148"/>
    </row>
    <row r="42" spans="2:6" hidden="1" x14ac:dyDescent="0.25">
      <c r="B42" s="373" t="s">
        <v>58</v>
      </c>
      <c r="C42" s="214">
        <v>37003.826900566906</v>
      </c>
      <c r="D42" s="214">
        <v>29974.498347254703</v>
      </c>
      <c r="E42" s="147"/>
      <c r="F42" s="148"/>
    </row>
    <row r="43" spans="2:6" hidden="1" x14ac:dyDescent="0.25">
      <c r="B43" s="373" t="s">
        <v>59</v>
      </c>
      <c r="C43" s="214">
        <v>79580.165950345632</v>
      </c>
      <c r="D43" s="214">
        <v>32584.151507048995</v>
      </c>
      <c r="E43" s="147"/>
      <c r="F43" s="148"/>
    </row>
    <row r="44" spans="2:6" hidden="1" x14ac:dyDescent="0.25">
      <c r="B44" s="373" t="s">
        <v>60</v>
      </c>
      <c r="C44" s="214">
        <v>33772.177205488624</v>
      </c>
      <c r="D44" s="214">
        <v>33772.177205488624</v>
      </c>
      <c r="E44" s="147"/>
      <c r="F44" s="148"/>
    </row>
    <row r="45" spans="2:6" hidden="1" x14ac:dyDescent="0.25">
      <c r="B45" s="373" t="s">
        <v>61</v>
      </c>
      <c r="C45" s="214">
        <v>45225.633132002353</v>
      </c>
      <c r="D45" s="214">
        <v>36708.177999525833</v>
      </c>
      <c r="E45" s="147"/>
      <c r="F45" s="148"/>
    </row>
    <row r="46" spans="2:6" hidden="1" x14ac:dyDescent="0.25">
      <c r="B46" s="373" t="s">
        <v>62</v>
      </c>
      <c r="C46" s="214">
        <v>63112.329754147126</v>
      </c>
      <c r="D46" s="214">
        <v>37003.826900566906</v>
      </c>
      <c r="E46" s="147"/>
      <c r="F46" s="148"/>
    </row>
    <row r="47" spans="2:6" hidden="1" x14ac:dyDescent="0.25">
      <c r="B47" s="373" t="s">
        <v>63</v>
      </c>
      <c r="C47" s="214">
        <v>39704.639733971853</v>
      </c>
      <c r="D47" s="214">
        <v>39704.639733971853</v>
      </c>
      <c r="E47" s="147"/>
      <c r="F47" s="148"/>
    </row>
    <row r="48" spans="2:6" hidden="1" x14ac:dyDescent="0.25">
      <c r="B48" s="373" t="s">
        <v>64</v>
      </c>
      <c r="C48" s="214">
        <v>44506.829771857942</v>
      </c>
      <c r="D48" s="214">
        <v>43192.395279627446</v>
      </c>
      <c r="E48" s="147"/>
      <c r="F48" s="148"/>
    </row>
    <row r="49" spans="2:12" hidden="1" x14ac:dyDescent="0.25">
      <c r="B49" s="373" t="s">
        <v>65</v>
      </c>
      <c r="C49" s="214">
        <v>32584.151507048995</v>
      </c>
      <c r="D49" s="214">
        <v>44506.829771857942</v>
      </c>
      <c r="E49" s="147"/>
      <c r="F49" s="148"/>
      <c r="G49" s="11"/>
      <c r="H49" s="11"/>
      <c r="I49" s="11"/>
      <c r="J49" s="11"/>
      <c r="K49" s="79"/>
      <c r="L49" s="79"/>
    </row>
    <row r="50" spans="2:12" hidden="1" x14ac:dyDescent="0.25">
      <c r="B50" s="373" t="s">
        <v>66</v>
      </c>
      <c r="C50" s="214">
        <v>268831.41005360917</v>
      </c>
      <c r="D50" s="214">
        <v>45225.633132002353</v>
      </c>
      <c r="E50" s="147"/>
      <c r="F50" s="148"/>
      <c r="G50" s="11"/>
      <c r="H50" s="11"/>
      <c r="I50" s="11"/>
      <c r="J50" s="11"/>
      <c r="K50" s="79"/>
      <c r="L50" s="79"/>
    </row>
    <row r="51" spans="2:12" hidden="1" x14ac:dyDescent="0.25">
      <c r="B51" s="373" t="s">
        <v>67</v>
      </c>
      <c r="C51" s="214">
        <v>46347.41126647652</v>
      </c>
      <c r="D51" s="214">
        <v>46347.41126647652</v>
      </c>
      <c r="E51" s="147"/>
      <c r="F51" s="148"/>
      <c r="G51" s="11"/>
      <c r="H51" s="11"/>
      <c r="I51" s="11"/>
      <c r="J51" s="11"/>
      <c r="K51" s="79"/>
      <c r="L51" s="79"/>
    </row>
    <row r="52" spans="2:12" hidden="1" x14ac:dyDescent="0.25">
      <c r="B52" s="373" t="s">
        <v>68</v>
      </c>
      <c r="C52" s="214">
        <v>21647.119796160252</v>
      </c>
      <c r="D52" s="214">
        <v>52680.591327376627</v>
      </c>
      <c r="E52" s="147"/>
      <c r="F52" s="148"/>
      <c r="G52" s="11"/>
      <c r="H52" s="11"/>
      <c r="I52" s="11"/>
      <c r="J52" s="11"/>
      <c r="K52" s="79"/>
      <c r="L52" s="79"/>
    </row>
    <row r="53" spans="2:12" hidden="1" x14ac:dyDescent="0.25">
      <c r="B53" s="373" t="s">
        <v>69</v>
      </c>
      <c r="C53" s="214">
        <v>36708.177999525833</v>
      </c>
      <c r="D53" s="214">
        <v>63112.329754147126</v>
      </c>
      <c r="E53" s="147"/>
      <c r="F53" s="148"/>
      <c r="G53" s="11"/>
      <c r="H53" s="11"/>
      <c r="I53" s="11"/>
      <c r="J53" s="11"/>
      <c r="K53" s="79"/>
      <c r="L53" s="79"/>
    </row>
    <row r="54" spans="2:12" hidden="1" x14ac:dyDescent="0.25">
      <c r="B54" s="373" t="s">
        <v>70</v>
      </c>
      <c r="C54" s="214">
        <v>15215.818184990858</v>
      </c>
      <c r="D54" s="214">
        <v>79580.165950345632</v>
      </c>
      <c r="E54" s="147"/>
      <c r="F54" s="148"/>
      <c r="G54" s="11"/>
      <c r="H54" s="11"/>
      <c r="I54" s="11"/>
      <c r="J54" s="11"/>
      <c r="K54" s="79"/>
      <c r="L54" s="79"/>
    </row>
    <row r="55" spans="2:12" hidden="1" x14ac:dyDescent="0.25">
      <c r="B55" s="373" t="s">
        <v>71</v>
      </c>
      <c r="C55" s="214">
        <v>43192.395279627446</v>
      </c>
      <c r="D55" s="214">
        <v>98033.370647845295</v>
      </c>
      <c r="E55" s="147"/>
      <c r="F55" s="148"/>
      <c r="G55" s="11"/>
      <c r="H55" s="11"/>
      <c r="I55" s="11"/>
      <c r="J55" s="11"/>
      <c r="K55" s="79"/>
      <c r="L55" s="79"/>
    </row>
    <row r="56" spans="2:12" hidden="1" x14ac:dyDescent="0.25">
      <c r="B56" s="373" t="s">
        <v>72</v>
      </c>
      <c r="C56" s="214">
        <v>27212.070679317905</v>
      </c>
      <c r="D56" s="214">
        <v>268831.41005360917</v>
      </c>
      <c r="E56" s="147"/>
      <c r="F56" s="148"/>
      <c r="G56" s="11"/>
      <c r="H56" s="11"/>
      <c r="I56" s="11"/>
      <c r="J56" s="11"/>
      <c r="K56" s="79"/>
      <c r="L56" s="79"/>
    </row>
    <row r="57" spans="2:12" hidden="1" x14ac:dyDescent="0.25">
      <c r="B57" s="373" t="s">
        <v>92</v>
      </c>
      <c r="C57" s="214">
        <f>SUM(C37:C56)</f>
        <v>1062697.5000000002</v>
      </c>
      <c r="D57" s="214">
        <f>SUM(D37:D56)</f>
        <v>1062697.5000000002</v>
      </c>
      <c r="E57" s="147"/>
      <c r="F57" s="157"/>
      <c r="G57" s="11"/>
      <c r="H57" s="11"/>
      <c r="I57" s="11"/>
      <c r="J57" s="11"/>
      <c r="K57" s="79"/>
      <c r="L57" s="79"/>
    </row>
    <row r="58" spans="2:12" hidden="1" x14ac:dyDescent="0.25">
      <c r="B58" s="11"/>
      <c r="C58" s="11"/>
      <c r="D58" s="11"/>
      <c r="E58" s="11"/>
      <c r="F58" s="11"/>
      <c r="G58" s="11"/>
      <c r="H58" s="11"/>
      <c r="I58" s="11"/>
      <c r="J58" s="11"/>
      <c r="K58" s="79"/>
      <c r="L58" s="79"/>
    </row>
    <row r="59" spans="2:12" x14ac:dyDescent="0.25">
      <c r="C59" s="11"/>
      <c r="D59" s="11"/>
      <c r="E59" s="11"/>
      <c r="F59" s="11"/>
      <c r="G59" s="11"/>
      <c r="H59" s="11"/>
      <c r="I59" s="11"/>
      <c r="J59" s="11"/>
      <c r="K59" s="79"/>
      <c r="L59" s="79"/>
    </row>
    <row r="60" spans="2:12" x14ac:dyDescent="0.25">
      <c r="B60" s="11"/>
      <c r="C60" s="11"/>
      <c r="D60" s="11"/>
      <c r="E60" s="11"/>
      <c r="F60" s="11"/>
      <c r="G60" s="11"/>
      <c r="H60" s="11"/>
      <c r="I60" s="11"/>
      <c r="J60" s="11"/>
      <c r="K60" s="79"/>
      <c r="L60" s="79"/>
    </row>
    <row r="61" spans="2:12" ht="15.75" hidden="1" x14ac:dyDescent="0.25">
      <c r="B61" s="647" t="s">
        <v>126</v>
      </c>
      <c r="C61" s="647"/>
      <c r="D61" s="647"/>
      <c r="E61" s="647"/>
      <c r="F61" s="647"/>
      <c r="G61" s="647"/>
      <c r="H61" s="647"/>
      <c r="I61" s="269"/>
      <c r="J61" s="269"/>
      <c r="K61" s="270"/>
      <c r="L61" s="270"/>
    </row>
    <row r="62" spans="2:12" hidden="1" x14ac:dyDescent="0.25">
      <c r="B62" s="11"/>
      <c r="C62" s="11"/>
      <c r="D62" s="11"/>
      <c r="E62" s="11"/>
      <c r="F62" s="11"/>
      <c r="G62" s="11"/>
      <c r="H62" s="11"/>
      <c r="I62" s="11"/>
      <c r="J62" s="11"/>
      <c r="K62" s="79"/>
      <c r="L62" s="79"/>
    </row>
    <row r="63" spans="2:12" hidden="1" x14ac:dyDescent="0.25">
      <c r="B63" s="852" t="s">
        <v>93</v>
      </c>
      <c r="C63" s="108" t="s">
        <v>94</v>
      </c>
      <c r="D63" s="108" t="s">
        <v>28</v>
      </c>
      <c r="E63" s="140" t="s">
        <v>128</v>
      </c>
      <c r="F63" s="140" t="s">
        <v>92</v>
      </c>
      <c r="G63" s="108" t="s">
        <v>129</v>
      </c>
      <c r="H63" s="108" t="s">
        <v>130</v>
      </c>
      <c r="I63" s="272"/>
      <c r="J63" s="272"/>
      <c r="K63" s="79"/>
      <c r="L63" s="79"/>
    </row>
    <row r="64" spans="2:12" hidden="1" x14ac:dyDescent="0.25">
      <c r="B64" s="853"/>
      <c r="C64" s="25" t="s">
        <v>99</v>
      </c>
      <c r="D64" s="25" t="s">
        <v>38</v>
      </c>
      <c r="E64" s="141" t="s">
        <v>132</v>
      </c>
      <c r="F64" s="141" t="s">
        <v>286</v>
      </c>
      <c r="G64" s="25" t="s">
        <v>134</v>
      </c>
      <c r="H64" s="25" t="s">
        <v>135</v>
      </c>
      <c r="I64" s="272"/>
      <c r="J64" s="272"/>
      <c r="K64" s="79"/>
      <c r="L64" s="79"/>
    </row>
    <row r="65" spans="2:10" hidden="1" x14ac:dyDescent="0.25">
      <c r="B65" s="853"/>
      <c r="C65" s="142">
        <v>2014</v>
      </c>
      <c r="D65" s="142" t="s">
        <v>44</v>
      </c>
      <c r="E65" s="141">
        <v>2015</v>
      </c>
      <c r="F65" s="141" t="s">
        <v>139</v>
      </c>
      <c r="G65" s="25">
        <v>2014</v>
      </c>
      <c r="H65" s="25" t="s">
        <v>140</v>
      </c>
      <c r="I65" s="272"/>
      <c r="J65" s="272"/>
    </row>
    <row r="66" spans="2:10" hidden="1" x14ac:dyDescent="0.25">
      <c r="B66" s="854"/>
      <c r="C66" s="143" t="s">
        <v>80</v>
      </c>
      <c r="D66" s="143" t="s">
        <v>107</v>
      </c>
      <c r="E66" s="143" t="s">
        <v>81</v>
      </c>
      <c r="F66" s="143" t="s">
        <v>108</v>
      </c>
      <c r="G66" s="143" t="s">
        <v>83</v>
      </c>
      <c r="H66" s="143" t="s">
        <v>110</v>
      </c>
      <c r="I66" s="165"/>
      <c r="J66" s="165"/>
    </row>
    <row r="67" spans="2:10" hidden="1" x14ac:dyDescent="0.25">
      <c r="B67" s="144" t="s">
        <v>53</v>
      </c>
      <c r="C67" s="145">
        <v>3.62</v>
      </c>
      <c r="D67" s="374">
        <f>[2]Datos!I$13*C67%</f>
        <v>35350314.182820007</v>
      </c>
      <c r="E67" s="339">
        <f>M9</f>
        <v>212236.47444731556</v>
      </c>
      <c r="F67" s="174">
        <f>D67+E67</f>
        <v>35562550.657267325</v>
      </c>
      <c r="G67" s="174">
        <f>F$87*C67%</f>
        <v>35528486.379999995</v>
      </c>
      <c r="H67" s="375">
        <f>F67-G67</f>
        <v>34064.277267329395</v>
      </c>
      <c r="I67" s="375"/>
      <c r="J67" s="375"/>
    </row>
    <row r="68" spans="2:10" hidden="1" x14ac:dyDescent="0.25">
      <c r="B68" s="147" t="s">
        <v>54</v>
      </c>
      <c r="C68" s="121">
        <v>2.4700000000000002</v>
      </c>
      <c r="D68" s="376">
        <f>[2]Datos!I$13*C68%</f>
        <v>24120241.997670002</v>
      </c>
      <c r="E68" s="339">
        <f t="shared" ref="E68:E87" si="6">M10</f>
        <v>145864.42783068493</v>
      </c>
      <c r="F68" s="174">
        <f t="shared" ref="F68:F87" si="7">D68+E68</f>
        <v>24266106.425500687</v>
      </c>
      <c r="G68" s="174">
        <f t="shared" ref="G68:G87" si="8">F$87*C68%</f>
        <v>24241812.529999997</v>
      </c>
      <c r="H68" s="375">
        <f t="shared" ref="H68:H86" si="9">F68-G68</f>
        <v>24293.895500689745</v>
      </c>
      <c r="I68" s="375"/>
      <c r="J68" s="375"/>
    </row>
    <row r="69" spans="2:10" hidden="1" x14ac:dyDescent="0.25">
      <c r="B69" s="147" t="s">
        <v>55</v>
      </c>
      <c r="C69" s="121">
        <v>2.33</v>
      </c>
      <c r="D69" s="376">
        <f>[2]Datos!I$13*C69%</f>
        <v>22753102.77513</v>
      </c>
      <c r="E69" s="339">
        <f t="shared" si="6"/>
        <v>130447.15236368868</v>
      </c>
      <c r="F69" s="174">
        <f t="shared" si="7"/>
        <v>22883549.927493688</v>
      </c>
      <c r="G69" s="174">
        <f t="shared" si="8"/>
        <v>22867782.669999994</v>
      </c>
      <c r="H69" s="375">
        <f t="shared" si="9"/>
        <v>15767.257493693382</v>
      </c>
      <c r="I69" s="375"/>
      <c r="J69" s="375"/>
    </row>
    <row r="70" spans="2:10" hidden="1" x14ac:dyDescent="0.25">
      <c r="B70" s="147" t="s">
        <v>56</v>
      </c>
      <c r="C70" s="121">
        <v>2.81</v>
      </c>
      <c r="D70" s="376">
        <f>[2]Datos!I$13*C70%</f>
        <v>27440437.252410002</v>
      </c>
      <c r="E70" s="339">
        <f t="shared" si="6"/>
        <v>417638.96845428646</v>
      </c>
      <c r="F70" s="174">
        <f t="shared" si="7"/>
        <v>27858076.220864289</v>
      </c>
      <c r="G70" s="174">
        <f t="shared" si="8"/>
        <v>27578742.189999994</v>
      </c>
      <c r="H70" s="375">
        <f t="shared" si="9"/>
        <v>279334.03086429462</v>
      </c>
      <c r="I70" s="375"/>
      <c r="J70" s="375"/>
    </row>
    <row r="71" spans="2:10" hidden="1" x14ac:dyDescent="0.25">
      <c r="B71" s="147" t="s">
        <v>57</v>
      </c>
      <c r="C71" s="121">
        <v>4.6399999999999997</v>
      </c>
      <c r="D71" s="376">
        <f>[2]Datos!I$13*C71%</f>
        <v>45310899.947039999</v>
      </c>
      <c r="E71" s="339">
        <f t="shared" si="6"/>
        <v>277059.04141818732</v>
      </c>
      <c r="F71" s="174">
        <f t="shared" si="7"/>
        <v>45587958.988458186</v>
      </c>
      <c r="G71" s="174">
        <f t="shared" si="8"/>
        <v>45539275.359999985</v>
      </c>
      <c r="H71" s="375">
        <f t="shared" si="9"/>
        <v>48683.628458201885</v>
      </c>
      <c r="I71" s="375"/>
      <c r="J71" s="375"/>
    </row>
    <row r="72" spans="2:10" hidden="1" x14ac:dyDescent="0.25">
      <c r="B72" s="147" t="s">
        <v>58</v>
      </c>
      <c r="C72" s="121">
        <v>1.5</v>
      </c>
      <c r="D72" s="376">
        <f>[2]Datos!I$13*C72%</f>
        <v>14647920.2415</v>
      </c>
      <c r="E72" s="339">
        <f t="shared" si="6"/>
        <v>187733.25241928361</v>
      </c>
      <c r="F72" s="174">
        <f t="shared" si="7"/>
        <v>14835653.493919283</v>
      </c>
      <c r="G72" s="174">
        <f t="shared" si="8"/>
        <v>14721748.499999996</v>
      </c>
      <c r="H72" s="375">
        <f t="shared" si="9"/>
        <v>113904.99391928688</v>
      </c>
      <c r="I72" s="375"/>
      <c r="J72" s="375"/>
    </row>
    <row r="73" spans="2:10" hidden="1" x14ac:dyDescent="0.25">
      <c r="B73" s="147" t="s">
        <v>59</v>
      </c>
      <c r="C73" s="121">
        <v>1.53</v>
      </c>
      <c r="D73" s="376">
        <f>[2]Datos!I$13*C73%</f>
        <v>14940878.646330001</v>
      </c>
      <c r="E73" s="339">
        <f t="shared" si="6"/>
        <v>131007.07607777882</v>
      </c>
      <c r="F73" s="174">
        <f t="shared" si="7"/>
        <v>15071885.722407781</v>
      </c>
      <c r="G73" s="174">
        <f t="shared" si="8"/>
        <v>15016183.469999997</v>
      </c>
      <c r="H73" s="375">
        <f t="shared" si="9"/>
        <v>55702.252407783642</v>
      </c>
      <c r="I73" s="375"/>
      <c r="J73" s="375"/>
    </row>
    <row r="74" spans="2:10" hidden="1" x14ac:dyDescent="0.25">
      <c r="B74" s="147" t="s">
        <v>60</v>
      </c>
      <c r="C74" s="121">
        <v>3.16</v>
      </c>
      <c r="D74" s="376">
        <f>[2]Datos!I$13*C74%</f>
        <v>30858285.308760002</v>
      </c>
      <c r="E74" s="339">
        <f t="shared" si="6"/>
        <v>205352.41862571239</v>
      </c>
      <c r="F74" s="174">
        <f t="shared" si="7"/>
        <v>31063637.727385715</v>
      </c>
      <c r="G74" s="174">
        <f t="shared" si="8"/>
        <v>31013816.839999996</v>
      </c>
      <c r="H74" s="375">
        <f t="shared" si="9"/>
        <v>49820.887385718524</v>
      </c>
      <c r="I74" s="375"/>
      <c r="J74" s="375"/>
    </row>
    <row r="75" spans="2:10" hidden="1" x14ac:dyDescent="0.25">
      <c r="B75" s="147" t="s">
        <v>61</v>
      </c>
      <c r="C75" s="121">
        <v>2.81</v>
      </c>
      <c r="D75" s="376">
        <f>[2]Datos!I$13*C75%</f>
        <v>27440437.252410002</v>
      </c>
      <c r="E75" s="339">
        <f t="shared" si="6"/>
        <v>162911.06238582358</v>
      </c>
      <c r="F75" s="174">
        <f t="shared" si="7"/>
        <v>27603348.314795826</v>
      </c>
      <c r="G75" s="174">
        <f t="shared" si="8"/>
        <v>27578742.189999994</v>
      </c>
      <c r="H75" s="375">
        <f t="shared" si="9"/>
        <v>24606.12479583174</v>
      </c>
      <c r="I75" s="375"/>
      <c r="J75" s="375"/>
    </row>
    <row r="76" spans="2:10" hidden="1" x14ac:dyDescent="0.25">
      <c r="B76" s="147" t="s">
        <v>62</v>
      </c>
      <c r="C76" s="121">
        <v>1.6</v>
      </c>
      <c r="D76" s="376">
        <f>[2]Datos!I$13*C76%</f>
        <v>15624448.2576</v>
      </c>
      <c r="E76" s="339">
        <f t="shared" si="6"/>
        <v>142222.09471721202</v>
      </c>
      <c r="F76" s="174">
        <f t="shared" si="7"/>
        <v>15766670.352317212</v>
      </c>
      <c r="G76" s="174">
        <f t="shared" si="8"/>
        <v>15703198.399999997</v>
      </c>
      <c r="H76" s="375">
        <f t="shared" si="9"/>
        <v>63471.952317215502</v>
      </c>
      <c r="I76" s="375"/>
      <c r="J76" s="375"/>
    </row>
    <row r="77" spans="2:10" hidden="1" x14ac:dyDescent="0.25">
      <c r="B77" s="147" t="s">
        <v>63</v>
      </c>
      <c r="C77" s="121">
        <v>2.84</v>
      </c>
      <c r="D77" s="376">
        <f>[2]Datos!I$13*C77%</f>
        <v>27733395.65724</v>
      </c>
      <c r="E77" s="339">
        <f t="shared" si="6"/>
        <v>178097.41773987561</v>
      </c>
      <c r="F77" s="174">
        <f t="shared" si="7"/>
        <v>27911493.074979875</v>
      </c>
      <c r="G77" s="174">
        <f t="shared" si="8"/>
        <v>27873177.159999993</v>
      </c>
      <c r="H77" s="375">
        <f t="shared" si="9"/>
        <v>38315.914979882538</v>
      </c>
      <c r="I77" s="375"/>
      <c r="J77" s="375"/>
    </row>
    <row r="78" spans="2:10" hidden="1" x14ac:dyDescent="0.25">
      <c r="B78" s="147" t="s">
        <v>64</v>
      </c>
      <c r="C78" s="121">
        <v>3.33</v>
      </c>
      <c r="D78" s="376">
        <f>[2]Datos!I$13*C78%</f>
        <v>32518382.936130002</v>
      </c>
      <c r="E78" s="339">
        <f t="shared" si="6"/>
        <v>166908.74548429251</v>
      </c>
      <c r="F78" s="174">
        <f t="shared" si="7"/>
        <v>32685291.681614295</v>
      </c>
      <c r="G78" s="174">
        <f t="shared" si="8"/>
        <v>32682281.669999994</v>
      </c>
      <c r="H78" s="377">
        <f t="shared" si="9"/>
        <v>3010.0116143003106</v>
      </c>
      <c r="I78" s="377"/>
      <c r="J78" s="377"/>
    </row>
    <row r="79" spans="2:10" hidden="1" x14ac:dyDescent="0.25">
      <c r="B79" s="147" t="s">
        <v>65</v>
      </c>
      <c r="C79" s="121">
        <v>4.6900000000000004</v>
      </c>
      <c r="D79" s="376">
        <f>[2]Datos!I$13*C79%</f>
        <v>45799163.955090009</v>
      </c>
      <c r="E79" s="339">
        <f t="shared" si="6"/>
        <v>208031.72906843945</v>
      </c>
      <c r="F79" s="174">
        <f t="shared" si="7"/>
        <v>46007195.684158444</v>
      </c>
      <c r="G79" s="174">
        <f t="shared" si="8"/>
        <v>46030000.309999995</v>
      </c>
      <c r="H79" s="377">
        <f t="shared" si="9"/>
        <v>-22804.625841550529</v>
      </c>
      <c r="I79" s="377"/>
      <c r="J79" s="377"/>
    </row>
    <row r="80" spans="2:10" hidden="1" x14ac:dyDescent="0.25">
      <c r="B80" s="147" t="s">
        <v>66</v>
      </c>
      <c r="C80" s="121">
        <v>2.13</v>
      </c>
      <c r="D80" s="376">
        <f>[2]Datos!I$13*C80%</f>
        <v>20800046.742929999</v>
      </c>
      <c r="E80" s="339">
        <f t="shared" si="6"/>
        <v>121431.5209201593</v>
      </c>
      <c r="F80" s="174">
        <f t="shared" si="7"/>
        <v>20921478.26385016</v>
      </c>
      <c r="G80" s="174">
        <f t="shared" si="8"/>
        <v>20904882.869999994</v>
      </c>
      <c r="H80" s="375">
        <f t="shared" si="9"/>
        <v>16595.393850166351</v>
      </c>
      <c r="I80" s="375"/>
      <c r="J80" s="375"/>
    </row>
    <row r="81" spans="2:10" hidden="1" x14ac:dyDescent="0.25">
      <c r="B81" s="147" t="s">
        <v>67</v>
      </c>
      <c r="C81" s="121">
        <v>2.81</v>
      </c>
      <c r="D81" s="376">
        <f>[2]Datos!I$13*C81%</f>
        <v>27440437.252410002</v>
      </c>
      <c r="E81" s="339">
        <f t="shared" si="6"/>
        <v>154390.26053250208</v>
      </c>
      <c r="F81" s="174">
        <f t="shared" si="7"/>
        <v>27594827.512942504</v>
      </c>
      <c r="G81" s="174">
        <f t="shared" si="8"/>
        <v>27578742.189999994</v>
      </c>
      <c r="H81" s="375">
        <f t="shared" si="9"/>
        <v>16085.322942510247</v>
      </c>
      <c r="I81" s="375"/>
      <c r="J81" s="375"/>
    </row>
    <row r="82" spans="2:10" hidden="1" x14ac:dyDescent="0.25">
      <c r="B82" s="147" t="s">
        <v>68</v>
      </c>
      <c r="C82" s="121">
        <v>8.34</v>
      </c>
      <c r="D82" s="376">
        <f>[2]Datos!I$13*C82%</f>
        <v>81442436.542740002</v>
      </c>
      <c r="E82" s="339">
        <f t="shared" si="6"/>
        <v>342808.91453826427</v>
      </c>
      <c r="F82" s="174">
        <f t="shared" si="7"/>
        <v>81785245.457278267</v>
      </c>
      <c r="G82" s="174">
        <f t="shared" si="8"/>
        <v>81852921.659999982</v>
      </c>
      <c r="H82" s="377">
        <f t="shared" si="9"/>
        <v>-67676.202721714973</v>
      </c>
      <c r="I82" s="377"/>
      <c r="J82" s="377"/>
    </row>
    <row r="83" spans="2:10" hidden="1" x14ac:dyDescent="0.25">
      <c r="B83" s="147" t="s">
        <v>69</v>
      </c>
      <c r="C83" s="121">
        <v>3.5</v>
      </c>
      <c r="D83" s="376">
        <f>[2]Datos!I$13*C83%</f>
        <v>34178480.563500002</v>
      </c>
      <c r="E83" s="339">
        <f t="shared" si="6"/>
        <v>200476.98247736692</v>
      </c>
      <c r="F83" s="174">
        <f t="shared" si="7"/>
        <v>34378957.545977369</v>
      </c>
      <c r="G83" s="174">
        <f t="shared" si="8"/>
        <v>34350746.499999993</v>
      </c>
      <c r="H83" s="375">
        <f t="shared" si="9"/>
        <v>28211.045977376401</v>
      </c>
      <c r="I83" s="375"/>
      <c r="J83" s="375"/>
    </row>
    <row r="84" spans="2:10" hidden="1" x14ac:dyDescent="0.25">
      <c r="B84" s="147" t="s">
        <v>70</v>
      </c>
      <c r="C84" s="121">
        <v>39</v>
      </c>
      <c r="D84" s="376">
        <f>[2]Datos!I$13*C84%</f>
        <v>380845926.27900004</v>
      </c>
      <c r="E84" s="339">
        <f t="shared" si="6"/>
        <v>1123863.6055541188</v>
      </c>
      <c r="F84" s="174">
        <f t="shared" si="7"/>
        <v>381969789.88455415</v>
      </c>
      <c r="G84" s="174">
        <f t="shared" si="8"/>
        <v>382765460.99999994</v>
      </c>
      <c r="H84" s="377">
        <f t="shared" si="9"/>
        <v>-795671.11544579268</v>
      </c>
      <c r="I84" s="377"/>
      <c r="J84" s="377"/>
    </row>
    <row r="85" spans="2:10" hidden="1" x14ac:dyDescent="0.25">
      <c r="B85" s="147" t="s">
        <v>71</v>
      </c>
      <c r="C85" s="121">
        <v>3.79</v>
      </c>
      <c r="D85" s="376">
        <f>[2]Datos!I$13*C85%</f>
        <v>37010411.810190007</v>
      </c>
      <c r="E85" s="339">
        <f t="shared" si="6"/>
        <v>177057.09753556922</v>
      </c>
      <c r="F85" s="174">
        <f t="shared" si="7"/>
        <v>37187468.907725573</v>
      </c>
      <c r="G85" s="174">
        <f t="shared" si="8"/>
        <v>37196951.209999993</v>
      </c>
      <c r="H85" s="377">
        <f t="shared" si="9"/>
        <v>-9482.3022744208574</v>
      </c>
      <c r="I85" s="377"/>
      <c r="J85" s="377"/>
    </row>
    <row r="86" spans="2:10" hidden="1" x14ac:dyDescent="0.25">
      <c r="B86" s="147" t="s">
        <v>72</v>
      </c>
      <c r="C86" s="121">
        <v>3.1</v>
      </c>
      <c r="D86" s="376">
        <f>[2]Datos!I$13*C86%</f>
        <v>30272368.4991</v>
      </c>
      <c r="E86" s="339">
        <f t="shared" si="6"/>
        <v>236345.65740934014</v>
      </c>
      <c r="F86" s="174">
        <f t="shared" si="7"/>
        <v>30508714.15650934</v>
      </c>
      <c r="G86" s="174">
        <f t="shared" si="8"/>
        <v>30424946.899999991</v>
      </c>
      <c r="H86" s="375">
        <f t="shared" si="9"/>
        <v>83767.25650934875</v>
      </c>
      <c r="I86" s="375"/>
      <c r="J86" s="375"/>
    </row>
    <row r="87" spans="2:10" hidden="1" x14ac:dyDescent="0.25">
      <c r="B87" s="149" t="s">
        <v>73</v>
      </c>
      <c r="C87" s="150">
        <f>SUM(C67:C86)</f>
        <v>100</v>
      </c>
      <c r="D87" s="305">
        <f>SUM(D67:D86)</f>
        <v>976528016.0999999</v>
      </c>
      <c r="E87" s="378">
        <f t="shared" si="6"/>
        <v>4921883.8999999017</v>
      </c>
      <c r="F87" s="379">
        <f t="shared" si="7"/>
        <v>981449899.99999976</v>
      </c>
      <c r="G87" s="379">
        <f t="shared" si="8"/>
        <v>981449899.99999976</v>
      </c>
      <c r="H87" s="380">
        <v>0</v>
      </c>
      <c r="I87" s="381"/>
      <c r="J87" s="381"/>
    </row>
    <row r="88" spans="2:10" x14ac:dyDescent="0.25">
      <c r="B88" s="11"/>
      <c r="C88" s="11"/>
      <c r="D88" s="11"/>
      <c r="E88" s="11"/>
      <c r="F88" s="11"/>
      <c r="G88" s="11"/>
      <c r="H88" s="11"/>
      <c r="I88" s="11"/>
      <c r="J88" s="11"/>
    </row>
  </sheetData>
  <mergeCells count="12">
    <mergeCell ref="B34:D34"/>
    <mergeCell ref="B35:B36"/>
    <mergeCell ref="C35:D35"/>
    <mergeCell ref="B61:H61"/>
    <mergeCell ref="B63:B66"/>
    <mergeCell ref="B3:M3"/>
    <mergeCell ref="B4:M4"/>
    <mergeCell ref="B5:B8"/>
    <mergeCell ref="C5:D5"/>
    <mergeCell ref="E5:F5"/>
    <mergeCell ref="C6:D6"/>
    <mergeCell ref="E6:F6"/>
  </mergeCells>
  <pageMargins left="0.70866141732283472" right="0.70866141732283472" top="0.74803149606299213" bottom="0.74803149606299213" header="0.31496062992125984" footer="0.31496062992125984"/>
  <pageSetup scale="6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
  <sheetViews>
    <sheetView topLeftCell="S1" zoomScale="90" zoomScaleNormal="90" workbookViewId="0">
      <selection activeCell="AA15" sqref="AA15"/>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2"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6.28515625" customWidth="1"/>
    <col min="22" max="22" width="18.5703125" customWidth="1"/>
    <col min="23" max="23" width="14.7109375" bestFit="1" customWidth="1"/>
    <col min="24" max="24" width="14.7109375" customWidth="1"/>
    <col min="25" max="25" width="18.5703125" customWidth="1"/>
    <col min="26" max="26" width="19.85546875" customWidth="1"/>
    <col min="27" max="27" width="16.85546875" customWidth="1"/>
    <col min="28" max="28" width="18.7109375" customWidth="1"/>
    <col min="29" max="31" width="21.5703125" customWidth="1"/>
    <col min="32" max="32" width="19.140625" style="14" customWidth="1"/>
    <col min="33" max="33" width="20.7109375" style="14" customWidth="1"/>
  </cols>
  <sheetData>
    <row r="1" spans="1:43" ht="18" x14ac:dyDescent="0.25">
      <c r="A1" s="657" t="s">
        <v>395</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c r="AG1" s="657"/>
    </row>
    <row r="2" spans="1:43" x14ac:dyDescent="0.25">
      <c r="A2" s="669" t="s">
        <v>332</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row>
    <row r="3" spans="1:43" ht="18.75" customHeight="1" x14ac:dyDescent="0.25"/>
    <row r="4" spans="1:43" ht="15.75" thickBot="1" x14ac:dyDescent="0.3">
      <c r="A4" s="669"/>
      <c r="B4" s="669"/>
      <c r="C4" s="669"/>
      <c r="D4" s="669"/>
      <c r="E4" s="669"/>
      <c r="F4" s="669"/>
      <c r="G4" s="669"/>
      <c r="H4" s="669"/>
      <c r="I4" s="669"/>
      <c r="J4" s="669"/>
      <c r="K4" s="669"/>
      <c r="L4" s="669"/>
      <c r="M4" s="669"/>
      <c r="N4" s="669"/>
      <c r="O4" s="669"/>
      <c r="P4" s="669"/>
      <c r="Q4" s="669"/>
      <c r="R4" s="669"/>
      <c r="S4" s="669"/>
      <c r="T4" s="669"/>
      <c r="U4" s="13"/>
      <c r="V4" s="13"/>
    </row>
    <row r="5" spans="1:43" ht="45" customHeight="1" thickBot="1" x14ac:dyDescent="0.3">
      <c r="A5" s="675" t="s">
        <v>283</v>
      </c>
      <c r="B5" s="16"/>
      <c r="C5" s="16"/>
      <c r="D5" s="16"/>
      <c r="E5" s="16"/>
      <c r="F5" s="16"/>
      <c r="G5" s="16"/>
      <c r="H5" s="16"/>
      <c r="I5" s="17"/>
      <c r="J5" s="18"/>
      <c r="K5" s="18"/>
      <c r="L5" s="18"/>
      <c r="M5" s="18"/>
      <c r="N5" s="18"/>
      <c r="O5" s="18"/>
      <c r="P5" s="18"/>
      <c r="Q5" s="18"/>
      <c r="R5" s="18"/>
      <c r="S5" s="678" t="s">
        <v>324</v>
      </c>
      <c r="T5" s="679"/>
      <c r="U5" s="678" t="s">
        <v>197</v>
      </c>
      <c r="V5" s="680"/>
      <c r="W5" s="679"/>
      <c r="X5" s="678" t="s">
        <v>207</v>
      </c>
      <c r="Y5" s="681"/>
      <c r="Z5" s="678" t="s">
        <v>396</v>
      </c>
      <c r="AA5" s="679"/>
      <c r="AB5" s="678" t="s">
        <v>398</v>
      </c>
      <c r="AC5" s="679"/>
      <c r="AD5" s="673" t="s">
        <v>330</v>
      </c>
      <c r="AE5" s="674"/>
      <c r="AF5" s="658" t="s">
        <v>329</v>
      </c>
      <c r="AG5" s="659"/>
      <c r="AH5" s="192"/>
      <c r="AI5" s="110"/>
      <c r="AJ5" s="110"/>
      <c r="AK5" s="110"/>
      <c r="AL5" s="110"/>
      <c r="AM5" s="110"/>
      <c r="AN5" s="110"/>
      <c r="AO5" s="110"/>
      <c r="AP5" s="110"/>
      <c r="AQ5" s="159"/>
    </row>
    <row r="6" spans="1:43" ht="15.75" customHeight="1" x14ac:dyDescent="0.25">
      <c r="A6" s="676"/>
      <c r="B6" s="660" t="s">
        <v>22</v>
      </c>
      <c r="C6" s="19"/>
      <c r="D6" s="20"/>
      <c r="E6" s="662" t="s">
        <v>23</v>
      </c>
      <c r="F6" s="662"/>
      <c r="G6" s="662"/>
      <c r="H6" s="662"/>
      <c r="I6" s="660" t="s">
        <v>24</v>
      </c>
      <c r="J6" s="660"/>
      <c r="K6" s="660"/>
      <c r="L6" s="660"/>
      <c r="M6" s="660" t="s">
        <v>25</v>
      </c>
      <c r="N6" s="660" t="s">
        <v>26</v>
      </c>
      <c r="O6" s="660"/>
      <c r="P6" s="660"/>
      <c r="Q6" s="660"/>
      <c r="R6" s="668"/>
      <c r="S6" s="654" t="s">
        <v>325</v>
      </c>
      <c r="T6" s="682" t="s">
        <v>326</v>
      </c>
      <c r="U6" s="654" t="s">
        <v>325</v>
      </c>
      <c r="V6" s="649" t="s">
        <v>327</v>
      </c>
      <c r="W6" s="652" t="s">
        <v>326</v>
      </c>
      <c r="X6" s="654" t="s">
        <v>325</v>
      </c>
      <c r="Y6" s="652" t="s">
        <v>326</v>
      </c>
      <c r="Z6" s="654" t="s">
        <v>325</v>
      </c>
      <c r="AA6" s="652" t="s">
        <v>326</v>
      </c>
      <c r="AB6" s="654" t="s">
        <v>325</v>
      </c>
      <c r="AC6" s="652" t="s">
        <v>326</v>
      </c>
      <c r="AD6" s="670" t="s">
        <v>325</v>
      </c>
      <c r="AE6" s="652" t="s">
        <v>326</v>
      </c>
      <c r="AF6" s="654" t="s">
        <v>325</v>
      </c>
      <c r="AG6" s="652" t="s">
        <v>326</v>
      </c>
    </row>
    <row r="7" spans="1:43" ht="15.75" customHeight="1" x14ac:dyDescent="0.25">
      <c r="A7" s="676"/>
      <c r="B7" s="661"/>
      <c r="C7" s="21" t="s">
        <v>28</v>
      </c>
      <c r="D7" s="664" t="s">
        <v>29</v>
      </c>
      <c r="E7" s="664"/>
      <c r="F7" s="21" t="s">
        <v>30</v>
      </c>
      <c r="G7" s="21" t="s">
        <v>31</v>
      </c>
      <c r="H7" s="22" t="s">
        <v>32</v>
      </c>
      <c r="I7" s="665" t="s">
        <v>33</v>
      </c>
      <c r="J7" s="660" t="s">
        <v>34</v>
      </c>
      <c r="K7" s="21" t="s">
        <v>31</v>
      </c>
      <c r="L7" s="660" t="s">
        <v>35</v>
      </c>
      <c r="M7" s="661"/>
      <c r="N7" s="665" t="s">
        <v>36</v>
      </c>
      <c r="O7" s="23"/>
      <c r="P7" s="23"/>
      <c r="Q7" s="21" t="s">
        <v>30</v>
      </c>
      <c r="R7" s="24" t="s">
        <v>37</v>
      </c>
      <c r="S7" s="655"/>
      <c r="T7" s="682"/>
      <c r="U7" s="655"/>
      <c r="V7" s="650"/>
      <c r="W7" s="653"/>
      <c r="X7" s="655"/>
      <c r="Y7" s="653"/>
      <c r="Z7" s="655"/>
      <c r="AA7" s="653"/>
      <c r="AB7" s="655"/>
      <c r="AC7" s="653"/>
      <c r="AD7" s="671"/>
      <c r="AE7" s="653"/>
      <c r="AF7" s="655"/>
      <c r="AG7" s="653"/>
    </row>
    <row r="8" spans="1:43" ht="15.75" customHeight="1" x14ac:dyDescent="0.25">
      <c r="A8" s="676"/>
      <c r="B8" s="661"/>
      <c r="C8" s="21" t="s">
        <v>38</v>
      </c>
      <c r="D8" s="664">
        <v>2010</v>
      </c>
      <c r="E8" s="664"/>
      <c r="F8" s="21" t="s">
        <v>39</v>
      </c>
      <c r="G8" s="21" t="s">
        <v>40</v>
      </c>
      <c r="H8" s="22" t="s">
        <v>41</v>
      </c>
      <c r="I8" s="665"/>
      <c r="J8" s="660"/>
      <c r="K8" s="21" t="s">
        <v>40</v>
      </c>
      <c r="L8" s="660"/>
      <c r="M8" s="661"/>
      <c r="N8" s="666"/>
      <c r="O8" s="26"/>
      <c r="P8" s="26"/>
      <c r="Q8" s="21" t="s">
        <v>42</v>
      </c>
      <c r="R8" s="24" t="s">
        <v>43</v>
      </c>
      <c r="S8" s="655"/>
      <c r="T8" s="682"/>
      <c r="U8" s="655"/>
      <c r="V8" s="650"/>
      <c r="W8" s="653"/>
      <c r="X8" s="655"/>
      <c r="Y8" s="653"/>
      <c r="Z8" s="655"/>
      <c r="AA8" s="653"/>
      <c r="AB8" s="655"/>
      <c r="AC8" s="653"/>
      <c r="AD8" s="671"/>
      <c r="AE8" s="653"/>
      <c r="AF8" s="655"/>
      <c r="AG8" s="653"/>
    </row>
    <row r="9" spans="1:43" ht="15.75" customHeight="1" thickBot="1" x14ac:dyDescent="0.3">
      <c r="A9" s="677"/>
      <c r="B9" s="27">
        <v>2014</v>
      </c>
      <c r="C9" s="27" t="s">
        <v>44</v>
      </c>
      <c r="D9" s="28" t="s">
        <v>45</v>
      </c>
      <c r="E9" s="28" t="s">
        <v>46</v>
      </c>
      <c r="F9" s="28" t="s">
        <v>47</v>
      </c>
      <c r="G9" s="29">
        <v>0.6</v>
      </c>
      <c r="H9" s="30">
        <v>0.6</v>
      </c>
      <c r="I9" s="28" t="s">
        <v>48</v>
      </c>
      <c r="J9" s="28"/>
      <c r="K9" s="29">
        <v>0.3</v>
      </c>
      <c r="L9" s="28" t="s">
        <v>49</v>
      </c>
      <c r="M9" s="663"/>
      <c r="N9" s="667"/>
      <c r="O9" s="31"/>
      <c r="P9" s="31"/>
      <c r="Q9" s="28" t="s">
        <v>50</v>
      </c>
      <c r="R9" s="32" t="s">
        <v>51</v>
      </c>
      <c r="S9" s="656"/>
      <c r="T9" s="683"/>
      <c r="U9" s="656"/>
      <c r="V9" s="651"/>
      <c r="W9" s="177" t="s">
        <v>52</v>
      </c>
      <c r="X9" s="656"/>
      <c r="Y9" s="177" t="s">
        <v>52</v>
      </c>
      <c r="Z9" s="656"/>
      <c r="AA9" s="177" t="s">
        <v>52</v>
      </c>
      <c r="AB9" s="656"/>
      <c r="AC9" s="177" t="s">
        <v>52</v>
      </c>
      <c r="AD9" s="672"/>
      <c r="AE9" s="178" t="s">
        <v>52</v>
      </c>
      <c r="AF9" s="656"/>
      <c r="AG9" s="177" t="s">
        <v>52</v>
      </c>
    </row>
    <row r="10" spans="1:43" ht="27" customHeight="1" x14ac:dyDescent="0.25">
      <c r="A10" s="33" t="s">
        <v>53</v>
      </c>
      <c r="B10" s="34">
        <v>3.62</v>
      </c>
      <c r="C10" s="35">
        <f>[1]Datos!I$13*B10%</f>
        <v>35350314.182820007</v>
      </c>
      <c r="D10" s="36">
        <f>E10/E$30*100</f>
        <v>3.3707564846877225</v>
      </c>
      <c r="E10" s="37">
        <v>36572</v>
      </c>
      <c r="F10" s="38">
        <f>D10</f>
        <v>3.3707564846877225</v>
      </c>
      <c r="G10" s="38">
        <f>F10*0.6</f>
        <v>2.0224538908126335</v>
      </c>
      <c r="H10" s="39">
        <f>[1]Datos!$K$18*Consolidado!G10/100</f>
        <v>5653240.9108052226</v>
      </c>
      <c r="I10" s="36">
        <v>1.210777</v>
      </c>
      <c r="J10" s="36">
        <f>I10/$I$30*100</f>
        <v>5.6616379474610792</v>
      </c>
      <c r="K10" s="36">
        <f>J10*0.3</f>
        <v>1.6984913842383238</v>
      </c>
      <c r="L10" s="37">
        <f>[1]Datos!$K$18*Consolidado!K10/100</f>
        <v>4747688.4509679256</v>
      </c>
      <c r="M10" s="40">
        <f>H10+L10</f>
        <v>10400929.361773148</v>
      </c>
      <c r="N10" s="36">
        <f>K10+G10</f>
        <v>3.7209452750509575</v>
      </c>
      <c r="O10" s="36">
        <f>1/N10</f>
        <v>0.26874891353684455</v>
      </c>
      <c r="P10" s="36">
        <f>O10/$O$30*100</f>
        <v>4.2169783378374488</v>
      </c>
      <c r="Q10" s="36">
        <f>P10*0.1</f>
        <v>0.42169783378374492</v>
      </c>
      <c r="R10" s="41">
        <f>Q10*[1]Datos!$K$18/100</f>
        <v>1178746.0059157736</v>
      </c>
      <c r="S10" s="179">
        <f>FGP!U9</f>
        <v>3.7575709150580465</v>
      </c>
      <c r="T10" s="180">
        <f>FGP!T9</f>
        <v>54191882.629372068</v>
      </c>
      <c r="U10" s="181">
        <f>FFM!S10</f>
        <v>2.3110143268570287</v>
      </c>
      <c r="V10" s="182">
        <f>FFM!N10</f>
        <v>0</v>
      </c>
      <c r="W10" s="183">
        <f>FFM!Q10</f>
        <v>17462952.376334731</v>
      </c>
      <c r="X10" s="434">
        <f>FOFIR!I9</f>
        <v>0.21400784944443349</v>
      </c>
      <c r="Y10" s="183">
        <f>FOFIR!K9</f>
        <v>1684303.9945927949</v>
      </c>
      <c r="Z10" s="434">
        <f>'IEPS TyA'!E10</f>
        <v>0.05</v>
      </c>
      <c r="AA10" s="183">
        <f>'IEPS TyA'!G10</f>
        <v>1390284</v>
      </c>
      <c r="AB10" s="434">
        <f>'IEPS GyD '!F9</f>
        <v>3.1589687142796663</v>
      </c>
      <c r="AC10" s="183">
        <f>'IEPS GyD '!H9</f>
        <v>1876821.4220873376</v>
      </c>
      <c r="AD10" s="437">
        <f>FGP!F9+FGP!L9+FGP!R9</f>
        <v>3.7575709150580465</v>
      </c>
      <c r="AE10" s="382">
        <f>'Incentivo ISAN'!J9</f>
        <v>307745.05794325401</v>
      </c>
      <c r="AF10" s="43">
        <f>FGP!F9+FGP!L9+FGP!R9</f>
        <v>3.7575709150580465</v>
      </c>
      <c r="AG10" s="42">
        <f>'FOCO ISAN'!J9</f>
        <v>86236.252500582166</v>
      </c>
      <c r="AH10" s="44"/>
      <c r="AI10" s="397"/>
      <c r="AJ10" s="44"/>
    </row>
    <row r="11" spans="1:43" ht="27" customHeight="1" x14ac:dyDescent="0.25">
      <c r="A11" s="45" t="s">
        <v>54</v>
      </c>
      <c r="B11" s="46">
        <v>2.4700000000000002</v>
      </c>
      <c r="C11" s="47">
        <f>[1]Datos!I$13*B11%</f>
        <v>24120241.997670002</v>
      </c>
      <c r="D11" s="48">
        <f t="shared" ref="D11:D29" si="0">E11/E$30*100</f>
        <v>1.4036216369164749</v>
      </c>
      <c r="E11" s="49">
        <v>15229</v>
      </c>
      <c r="F11" s="50">
        <f t="shared" ref="F11:F30" si="1">D11</f>
        <v>1.4036216369164749</v>
      </c>
      <c r="G11" s="50">
        <f t="shared" ref="G11:G29" si="2">F11*0.6</f>
        <v>0.8421729821498849</v>
      </c>
      <c r="H11" s="51">
        <f>[1]Datos!$K$18*Consolidado!G11/100</f>
        <v>2354074.314520746</v>
      </c>
      <c r="I11" s="48">
        <v>1.1581699999999999</v>
      </c>
      <c r="J11" s="48">
        <f t="shared" ref="J11:J29" si="3">I11/$I$30*100</f>
        <v>5.4156456734898315</v>
      </c>
      <c r="K11" s="48">
        <f t="shared" ref="K11:K29" si="4">J11*0.3</f>
        <v>1.6246937020469494</v>
      </c>
      <c r="L11" s="52">
        <f>[1]Datos!$K$18*Consolidado!K11/100</f>
        <v>4541406.3310234025</v>
      </c>
      <c r="M11" s="53">
        <f t="shared" ref="M11:M30" si="5">H11+L11</f>
        <v>6895480.645544149</v>
      </c>
      <c r="N11" s="48">
        <f t="shared" ref="N11:N29" si="6">K11+G11</f>
        <v>2.4668666841968343</v>
      </c>
      <c r="O11" s="48">
        <f t="shared" ref="O11:O29" si="7">1/N11</f>
        <v>0.40537253448115756</v>
      </c>
      <c r="P11" s="48">
        <f t="shared" ref="P11:P29" si="8">O11/$O$30*100</f>
        <v>6.3607594693659895</v>
      </c>
      <c r="Q11" s="48">
        <f t="shared" ref="Q11:Q29" si="9">P11*0.1</f>
        <v>0.63607594693659897</v>
      </c>
      <c r="R11" s="54">
        <f>Q11*[1]Datos!$K$18/100</f>
        <v>1777983.9540155372</v>
      </c>
      <c r="S11" s="179">
        <f>FGP!U10</f>
        <v>3.1839543594752433</v>
      </c>
      <c r="T11" s="180">
        <f>FGP!T10</f>
        <v>40085527.909998268</v>
      </c>
      <c r="U11" s="181">
        <f>FFM!S11</f>
        <v>1.080893804851218</v>
      </c>
      <c r="V11" s="182">
        <f>FFM!N11</f>
        <v>0</v>
      </c>
      <c r="W11" s="183">
        <f>FFM!Q11</f>
        <v>11527447.575698676</v>
      </c>
      <c r="X11" s="434">
        <f>FOFIR!I10</f>
        <v>5.0726958650705707E-2</v>
      </c>
      <c r="Y11" s="183">
        <f>FOFIR!K10</f>
        <v>674657.53915966349</v>
      </c>
      <c r="Z11" s="434">
        <f>'IEPS TyA'!E11</f>
        <v>0.05</v>
      </c>
      <c r="AA11" s="183">
        <f>'IEPS TyA'!G11</f>
        <v>1769508</v>
      </c>
      <c r="AB11" s="434">
        <f>'IEPS GyD '!F10</f>
        <v>1.3507472164599297</v>
      </c>
      <c r="AC11" s="183">
        <f>'IEPS GyD '!H10</f>
        <v>775025.87210215488</v>
      </c>
      <c r="AD11" s="438">
        <f>FGP!F10+FGP!L10+FGP!R10</f>
        <v>3.1839543594752437</v>
      </c>
      <c r="AE11" s="382">
        <f>'Incentivo ISAN'!J10</f>
        <v>260765.86204102245</v>
      </c>
      <c r="AF11" s="43">
        <f>FGP!F10+FGP!L10+FGP!R10</f>
        <v>3.1839543594752437</v>
      </c>
      <c r="AG11" s="42">
        <f>'FOCO ISAN'!J10</f>
        <v>73071.752549956844</v>
      </c>
      <c r="AH11" s="44"/>
      <c r="AI11" s="44"/>
      <c r="AJ11" s="44"/>
    </row>
    <row r="12" spans="1:43" ht="27" customHeight="1" x14ac:dyDescent="0.25">
      <c r="A12" s="45" t="s">
        <v>55</v>
      </c>
      <c r="B12" s="46">
        <v>2.33</v>
      </c>
      <c r="C12" s="47">
        <f>[1]Datos!I$13*B12%</f>
        <v>22753102.77513</v>
      </c>
      <c r="D12" s="48">
        <f t="shared" si="0"/>
        <v>1.0311720319010782</v>
      </c>
      <c r="E12" s="52">
        <v>11188</v>
      </c>
      <c r="F12" s="50">
        <f t="shared" si="1"/>
        <v>1.0311720319010782</v>
      </c>
      <c r="G12" s="50">
        <f t="shared" si="2"/>
        <v>0.61870321914064685</v>
      </c>
      <c r="H12" s="51">
        <f>[1]Datos!$K$18*Consolidado!G12/100</f>
        <v>1729423.0370252877</v>
      </c>
      <c r="I12" s="48">
        <v>1.096811</v>
      </c>
      <c r="J12" s="48">
        <f t="shared" si="3"/>
        <v>5.1287287244411921</v>
      </c>
      <c r="K12" s="48">
        <f t="shared" si="4"/>
        <v>1.5386186173323575</v>
      </c>
      <c r="L12" s="52">
        <f>[1]Datos!$K$18*Consolidado!K12/100</f>
        <v>4300805.943286485</v>
      </c>
      <c r="M12" s="53">
        <f t="shared" si="5"/>
        <v>6030228.9803117728</v>
      </c>
      <c r="N12" s="48">
        <f t="shared" si="6"/>
        <v>2.1573218364730042</v>
      </c>
      <c r="O12" s="48">
        <f t="shared" si="7"/>
        <v>0.46353769896238362</v>
      </c>
      <c r="P12" s="48">
        <f t="shared" si="8"/>
        <v>7.2734375353201246</v>
      </c>
      <c r="Q12" s="48">
        <f t="shared" si="9"/>
        <v>0.72734375353201253</v>
      </c>
      <c r="R12" s="54">
        <f>Q12*[1]Datos!$K$18/100</f>
        <v>2033099.2376956686</v>
      </c>
      <c r="S12" s="179">
        <f>FGP!U11</f>
        <v>2.4286826528910188</v>
      </c>
      <c r="T12" s="180">
        <f>FGP!T11</f>
        <v>34931233.667090267</v>
      </c>
      <c r="U12" s="181">
        <f>FFM!S12</f>
        <v>0.57469643865683373</v>
      </c>
      <c r="V12" s="182">
        <f>FFM!N12</f>
        <v>0</v>
      </c>
      <c r="W12" s="183">
        <f>FFM!Q12</f>
        <v>10526095.149768647</v>
      </c>
      <c r="X12" s="434">
        <f>FOFIR!I11</f>
        <v>6.7819395156407045E-3</v>
      </c>
      <c r="Y12" s="183">
        <f>FOFIR!K11</f>
        <v>482856.30155406083</v>
      </c>
      <c r="Z12" s="434">
        <f>'IEPS TyA'!E12</f>
        <v>0.05</v>
      </c>
      <c r="AA12" s="183">
        <f>'IEPS TyA'!G12</f>
        <v>1839582</v>
      </c>
      <c r="AB12" s="434">
        <f>'IEPS GyD '!F11</f>
        <v>1.0034291520257399</v>
      </c>
      <c r="AC12" s="183">
        <f>'IEPS GyD '!H11</f>
        <v>569183.04059629142</v>
      </c>
      <c r="AD12" s="438">
        <f>FGP!F11+FGP!L11+FGP!R11</f>
        <v>2.4286826528910188</v>
      </c>
      <c r="AE12" s="382">
        <f>'Incentivo ISAN'!J11</f>
        <v>198909.10927177442</v>
      </c>
      <c r="AF12" s="43">
        <f>FGP!F11+FGP!L11+FGP!R11</f>
        <v>2.4286826528910188</v>
      </c>
      <c r="AG12" s="42">
        <f>'FOCO ISAN'!J11</f>
        <v>55738.266883848883</v>
      </c>
      <c r="AH12" s="44"/>
      <c r="AI12" s="44"/>
      <c r="AJ12" s="44"/>
    </row>
    <row r="13" spans="1:43" ht="27" customHeight="1" x14ac:dyDescent="0.25">
      <c r="A13" s="45" t="s">
        <v>56</v>
      </c>
      <c r="B13" s="46">
        <v>2.81</v>
      </c>
      <c r="C13" s="47">
        <f>[1]Datos!I$13*B13%</f>
        <v>27440437.252410002</v>
      </c>
      <c r="D13" s="48">
        <f t="shared" si="0"/>
        <v>11.447687005923617</v>
      </c>
      <c r="E13" s="52">
        <v>124205</v>
      </c>
      <c r="F13" s="50">
        <f t="shared" si="1"/>
        <v>11.447687005923617</v>
      </c>
      <c r="G13" s="50">
        <f t="shared" si="2"/>
        <v>6.8686122035541706</v>
      </c>
      <c r="H13" s="51">
        <f>[1]Datos!$K$18*Consolidado!G13/100</f>
        <v>19199409.037694484</v>
      </c>
      <c r="I13" s="48">
        <v>0.95977000000000001</v>
      </c>
      <c r="J13" s="48">
        <f t="shared" si="3"/>
        <v>4.4879199496147679</v>
      </c>
      <c r="K13" s="48">
        <f t="shared" si="4"/>
        <v>1.3463759848844303</v>
      </c>
      <c r="L13" s="52">
        <f>[1]Datos!$K$18*Consolidado!K13/100</f>
        <v>3763441.9423110001</v>
      </c>
      <c r="M13" s="53">
        <f t="shared" si="5"/>
        <v>22962850.980005484</v>
      </c>
      <c r="N13" s="48">
        <f t="shared" si="6"/>
        <v>8.2149881884386016</v>
      </c>
      <c r="O13" s="48">
        <f t="shared" si="7"/>
        <v>0.12172872036594699</v>
      </c>
      <c r="P13" s="48">
        <f t="shared" si="8"/>
        <v>1.9100630775405734</v>
      </c>
      <c r="Q13" s="48">
        <f t="shared" si="9"/>
        <v>0.19100630775405736</v>
      </c>
      <c r="R13" s="54">
        <f>Q13*[1]Datos!$K$18/100</f>
        <v>533908.17863502365</v>
      </c>
      <c r="S13" s="179">
        <f>FGP!U12</f>
        <v>9.3921983266377786</v>
      </c>
      <c r="T13" s="180">
        <f>FGP!T12</f>
        <v>74535688.848534256</v>
      </c>
      <c r="U13" s="181">
        <f>FFM!S13</f>
        <v>24.627904057063162</v>
      </c>
      <c r="V13" s="182">
        <f>FFM!N13</f>
        <v>0</v>
      </c>
      <c r="W13" s="183">
        <f>FFM!Q13</f>
        <v>31413625.659425825</v>
      </c>
      <c r="X13" s="434">
        <f>FOFIR!I12</f>
        <v>21.521205823538462</v>
      </c>
      <c r="Y13" s="183">
        <f>FOFIR!K12</f>
        <v>11470375.17250585</v>
      </c>
      <c r="Z13" s="434">
        <f>'IEPS TyA'!E13</f>
        <v>0.05</v>
      </c>
      <c r="AA13" s="183">
        <f>'IEPS TyA'!G13</f>
        <v>1625238</v>
      </c>
      <c r="AB13" s="434">
        <f>'IEPS GyD '!F12</f>
        <v>12.721730663392744</v>
      </c>
      <c r="AC13" s="183">
        <f>'IEPS GyD '!H12</f>
        <v>5272858.1399453878</v>
      </c>
      <c r="AD13" s="438">
        <f>FGP!F12+FGP!L12+FGP!R12</f>
        <v>9.3921983266377786</v>
      </c>
      <c r="AE13" s="382">
        <f>'Incentivo ISAN'!J12</f>
        <v>769221.04295163415</v>
      </c>
      <c r="AF13" s="43">
        <f>FGP!F12+FGP!L12+FGP!R12</f>
        <v>9.3921983266377786</v>
      </c>
      <c r="AG13" s="42">
        <f>'FOCO ISAN'!J12</f>
        <v>215550.95159633702</v>
      </c>
      <c r="AH13" s="44"/>
      <c r="AI13" s="44"/>
      <c r="AJ13" s="44"/>
    </row>
    <row r="14" spans="1:43" ht="27" customHeight="1" x14ac:dyDescent="0.25">
      <c r="A14" s="45" t="s">
        <v>57</v>
      </c>
      <c r="B14" s="46">
        <v>4.6399999999999997</v>
      </c>
      <c r="C14" s="47">
        <f>[1]Datos!I$13*B14%</f>
        <v>45310899.947039999</v>
      </c>
      <c r="D14" s="48">
        <f t="shared" si="0"/>
        <v>6.4885126808905982</v>
      </c>
      <c r="E14" s="52">
        <v>70399</v>
      </c>
      <c r="F14" s="50">
        <f t="shared" si="1"/>
        <v>6.4885126808905982</v>
      </c>
      <c r="G14" s="50">
        <f t="shared" si="2"/>
        <v>3.8931076085343586</v>
      </c>
      <c r="H14" s="51">
        <f>[1]Datos!$K$18*Consolidado!G14/100</f>
        <v>10882164.138679232</v>
      </c>
      <c r="I14" s="48">
        <v>0.95178300000000005</v>
      </c>
      <c r="J14" s="48">
        <f t="shared" si="3"/>
        <v>4.4505724427771165</v>
      </c>
      <c r="K14" s="48">
        <f t="shared" si="4"/>
        <v>1.3351717328331349</v>
      </c>
      <c r="L14" s="52">
        <f>[1]Datos!$K$18*Consolidado!K14/100</f>
        <v>3732123.3859972609</v>
      </c>
      <c r="M14" s="53">
        <f t="shared" si="5"/>
        <v>14614287.524676494</v>
      </c>
      <c r="N14" s="48">
        <f t="shared" si="6"/>
        <v>5.2282793413674931</v>
      </c>
      <c r="O14" s="48">
        <f t="shared" si="7"/>
        <v>0.19126751550701249</v>
      </c>
      <c r="P14" s="48">
        <f t="shared" si="8"/>
        <v>3.001206438419636</v>
      </c>
      <c r="Q14" s="48">
        <f t="shared" si="9"/>
        <v>0.30012064384196363</v>
      </c>
      <c r="R14" s="54">
        <f>Q14*[1]Datos!$K$18/100</f>
        <v>838908.76803271263</v>
      </c>
      <c r="S14" s="179">
        <f>FGP!U13</f>
        <v>5.517011629151634</v>
      </c>
      <c r="T14" s="180">
        <f>FGP!T13</f>
        <v>72974822.885798022</v>
      </c>
      <c r="U14" s="181">
        <f>FFM!S14</f>
        <v>4.9289355943598672</v>
      </c>
      <c r="V14" s="182">
        <f>FFM!N14</f>
        <v>0</v>
      </c>
      <c r="W14" s="183">
        <f>FFM!Q14</f>
        <v>23921619.982270569</v>
      </c>
      <c r="X14" s="434">
        <f>FOFIR!I13</f>
        <v>1.0255074091499849</v>
      </c>
      <c r="Y14" s="183">
        <f>FOFIR!K13</f>
        <v>3283789.2765889619</v>
      </c>
      <c r="Z14" s="434">
        <f>'IEPS TyA'!E14</f>
        <v>0.05</v>
      </c>
      <c r="AA14" s="183">
        <f>'IEPS TyA'!G14</f>
        <v>1210977</v>
      </c>
      <c r="AB14" s="434">
        <f>'IEPS GyD '!F13</f>
        <v>6.3943101477498834</v>
      </c>
      <c r="AC14" s="183">
        <f>'IEPS GyD '!H13</f>
        <v>3504263.6313439314</v>
      </c>
      <c r="AD14" s="438">
        <f>FGP!F13+FGP!L13+FGP!R13</f>
        <v>5.517011629151634</v>
      </c>
      <c r="AE14" s="382">
        <f>'Incentivo ISAN'!J13</f>
        <v>451843.25242751883</v>
      </c>
      <c r="AF14" s="43">
        <f>FGP!F13+FGP!L13+FGP!R13</f>
        <v>5.517011629151634</v>
      </c>
      <c r="AG14" s="42">
        <f>'FOCO ISAN'!J13</f>
        <v>126615.41688903002</v>
      </c>
      <c r="AH14" s="44"/>
      <c r="AI14" s="44"/>
      <c r="AJ14" s="44"/>
    </row>
    <row r="15" spans="1:43" ht="27" customHeight="1" x14ac:dyDescent="0.25">
      <c r="A15" s="45" t="s">
        <v>58</v>
      </c>
      <c r="B15" s="46">
        <v>1.5</v>
      </c>
      <c r="C15" s="47">
        <f>[1]Datos!I$13*B15%</f>
        <v>14647920.2415</v>
      </c>
      <c r="D15" s="48">
        <f t="shared" si="0"/>
        <v>3.1613515100292262</v>
      </c>
      <c r="E15" s="52">
        <v>34300</v>
      </c>
      <c r="F15" s="50">
        <f t="shared" si="1"/>
        <v>3.1613515100292262</v>
      </c>
      <c r="G15" s="50">
        <f t="shared" si="2"/>
        <v>1.8968109060175355</v>
      </c>
      <c r="H15" s="51">
        <f>[1]Datos!$K$18*Consolidado!G15/100</f>
        <v>5302038.8067543237</v>
      </c>
      <c r="I15" s="48">
        <v>1.071404</v>
      </c>
      <c r="J15" s="48">
        <f t="shared" si="3"/>
        <v>5.0099246545495904</v>
      </c>
      <c r="K15" s="48">
        <f t="shared" si="4"/>
        <v>1.5029773963648771</v>
      </c>
      <c r="L15" s="52">
        <f>[1]Datos!$K$18*Consolidado!K15/100</f>
        <v>4201180.2314718887</v>
      </c>
      <c r="M15" s="53">
        <f t="shared" si="5"/>
        <v>9503219.0382262133</v>
      </c>
      <c r="N15" s="48">
        <f t="shared" si="6"/>
        <v>3.3997883023824125</v>
      </c>
      <c r="O15" s="48">
        <f t="shared" si="7"/>
        <v>0.29413596114182955</v>
      </c>
      <c r="P15" s="48">
        <f t="shared" si="8"/>
        <v>4.6153301986988051</v>
      </c>
      <c r="Q15" s="48">
        <f t="shared" si="9"/>
        <v>0.46153301986988055</v>
      </c>
      <c r="R15" s="54">
        <f>Q15*[1]Datos!$K$18/100</f>
        <v>1290094.8503540491</v>
      </c>
      <c r="S15" s="179">
        <f>FGP!U14</f>
        <v>3.3146117696588164</v>
      </c>
      <c r="T15" s="180">
        <f>FGP!T14</f>
        <v>31268360.931388859</v>
      </c>
      <c r="U15" s="181">
        <f>FFM!S15</f>
        <v>1.809793839408568</v>
      </c>
      <c r="V15" s="182">
        <f>FFM!N15</f>
        <v>0.32634403281720631</v>
      </c>
      <c r="W15" s="183">
        <f>FFM!Q15</f>
        <v>8011899.9090445088</v>
      </c>
      <c r="X15" s="434">
        <f>FOFIR!I14</f>
        <v>3.3185219280042104E-3</v>
      </c>
      <c r="Y15" s="183">
        <f>FOFIR!K14</f>
        <v>1420529.9190012633</v>
      </c>
      <c r="Z15" s="434">
        <f>'IEPS TyA'!E15</f>
        <v>0.05</v>
      </c>
      <c r="AA15" s="183">
        <f>'IEPS TyA'!G15</f>
        <v>2538261</v>
      </c>
      <c r="AB15" s="434">
        <f>'IEPS GyD '!F14</f>
        <v>3.5996782524025233</v>
      </c>
      <c r="AC15" s="183">
        <f>'IEPS GyD '!H14</f>
        <v>1773555.0070551629</v>
      </c>
      <c r="AD15" s="438">
        <f>FGP!F14+FGP!L14+FGP!R14</f>
        <v>3.3146117696588164</v>
      </c>
      <c r="AE15" s="382">
        <f>'Incentivo ISAN'!J14</f>
        <v>271466.7039350571</v>
      </c>
      <c r="AF15" s="43">
        <f>FGP!F14+FGP!L14+FGP!R14</f>
        <v>3.3146117696588164</v>
      </c>
      <c r="AG15" s="42">
        <f>'FOCO ISAN'!J14</f>
        <v>76070.340113669838</v>
      </c>
      <c r="AH15" s="44"/>
      <c r="AI15" s="44"/>
      <c r="AJ15" s="44"/>
    </row>
    <row r="16" spans="1:43" ht="27" customHeight="1" x14ac:dyDescent="0.25">
      <c r="A16" s="45" t="s">
        <v>59</v>
      </c>
      <c r="B16" s="46">
        <v>1.53</v>
      </c>
      <c r="C16" s="47">
        <f>[1]Datos!I$13*B16%</f>
        <v>14940878.646330001</v>
      </c>
      <c r="D16" s="48">
        <f t="shared" si="0"/>
        <v>1.050711580592804</v>
      </c>
      <c r="E16" s="52">
        <v>11400</v>
      </c>
      <c r="F16" s="50">
        <f t="shared" si="1"/>
        <v>1.050711580592804</v>
      </c>
      <c r="G16" s="50">
        <f t="shared" si="2"/>
        <v>0.63042694835568236</v>
      </c>
      <c r="H16" s="51">
        <f>[1]Datos!$K$18*Consolidado!G16/100</f>
        <v>1762193.6558891919</v>
      </c>
      <c r="I16" s="48">
        <v>1.737498</v>
      </c>
      <c r="J16" s="48">
        <f t="shared" si="3"/>
        <v>8.1246047872050173</v>
      </c>
      <c r="K16" s="48">
        <f t="shared" si="4"/>
        <v>2.4373814361615049</v>
      </c>
      <c r="L16" s="52">
        <f>[1]Datos!$K$18*Consolidado!K16/100</f>
        <v>6813062.3460636167</v>
      </c>
      <c r="M16" s="53">
        <f t="shared" si="5"/>
        <v>8575256.0019528084</v>
      </c>
      <c r="N16" s="48">
        <f t="shared" si="6"/>
        <v>3.0678083845171873</v>
      </c>
      <c r="O16" s="48">
        <f t="shared" si="7"/>
        <v>0.32596559975742434</v>
      </c>
      <c r="P16" s="48">
        <f t="shared" si="8"/>
        <v>5.1147736932852705</v>
      </c>
      <c r="Q16" s="48">
        <f t="shared" si="9"/>
        <v>0.51147736932852705</v>
      </c>
      <c r="R16" s="54">
        <f>Q16*[1]Datos!$K$18/100</f>
        <v>1429701.2171077179</v>
      </c>
      <c r="S16" s="179">
        <f>FGP!U15</f>
        <v>2.4118503785591408</v>
      </c>
      <c r="T16" s="180">
        <f>FGP!T15</f>
        <v>27034607.5519793</v>
      </c>
      <c r="U16" s="181">
        <f>FFM!S16</f>
        <v>0.53656524595590627</v>
      </c>
      <c r="V16" s="182">
        <f>FFM!N16</f>
        <v>0.14204328736989105</v>
      </c>
      <c r="W16" s="183">
        <f>FFM!Q16</f>
        <v>7084094.9358932348</v>
      </c>
      <c r="X16" s="434">
        <f>FOFIR!I15</f>
        <v>2.5211017425688312E-4</v>
      </c>
      <c r="Y16" s="183">
        <f>FOFIR!K15</f>
        <v>489371.55341466848</v>
      </c>
      <c r="Z16" s="434">
        <f>'IEPS TyA'!E16</f>
        <v>0.05</v>
      </c>
      <c r="AA16" s="183">
        <f>'IEPS TyA'!G16</f>
        <v>2501163</v>
      </c>
      <c r="AB16" s="434">
        <f>'IEPS GyD '!F15</f>
        <v>1.0680326827822699</v>
      </c>
      <c r="AC16" s="183">
        <f>'IEPS GyD '!H15</f>
        <v>586323.10294123879</v>
      </c>
      <c r="AD16" s="438">
        <f>FGP!F15+FGP!L15+FGP!R15</f>
        <v>2.4118503785591408</v>
      </c>
      <c r="AE16" s="382">
        <f>'Incentivo ISAN'!J15</f>
        <v>197530.5460039936</v>
      </c>
      <c r="AF16" s="43">
        <f>FGP!F15+FGP!L15+FGP!R15</f>
        <v>2.4118503785591408</v>
      </c>
      <c r="AG16" s="42">
        <f>'FOCO ISAN'!J15</f>
        <v>55351.966187932281</v>
      </c>
      <c r="AH16" s="44"/>
      <c r="AI16" s="44"/>
      <c r="AJ16" s="44"/>
    </row>
    <row r="17" spans="1:36" ht="27" customHeight="1" x14ac:dyDescent="0.25">
      <c r="A17" s="45" t="s">
        <v>60</v>
      </c>
      <c r="B17" s="46">
        <v>3.16</v>
      </c>
      <c r="C17" s="47">
        <f>[1]Datos!I$13*B17%</f>
        <v>30858285.308760002</v>
      </c>
      <c r="D17" s="48">
        <f t="shared" si="0"/>
        <v>2.5136892050445216</v>
      </c>
      <c r="E17" s="52">
        <v>27273</v>
      </c>
      <c r="F17" s="50">
        <f t="shared" si="1"/>
        <v>2.5136892050445216</v>
      </c>
      <c r="G17" s="50">
        <f t="shared" si="2"/>
        <v>1.5082135230267129</v>
      </c>
      <c r="H17" s="51">
        <f>[1]Datos!$K$18*Consolidado!G17/100</f>
        <v>4215816.4541285904</v>
      </c>
      <c r="I17" s="48">
        <v>0.789829</v>
      </c>
      <c r="J17" s="48">
        <f t="shared" si="3"/>
        <v>3.6932695602949481</v>
      </c>
      <c r="K17" s="48">
        <f t="shared" si="4"/>
        <v>1.1079808680884844</v>
      </c>
      <c r="L17" s="52">
        <f>[1]Datos!$K$18*Consolidado!K17/100</f>
        <v>3097070.7417960083</v>
      </c>
      <c r="M17" s="53">
        <f t="shared" si="5"/>
        <v>7312887.1959245987</v>
      </c>
      <c r="N17" s="48">
        <f t="shared" si="6"/>
        <v>2.6161943911151972</v>
      </c>
      <c r="O17" s="48">
        <f t="shared" si="7"/>
        <v>0.38223459365102186</v>
      </c>
      <c r="P17" s="48">
        <f t="shared" si="8"/>
        <v>5.9976986704263497</v>
      </c>
      <c r="Q17" s="48">
        <f t="shared" si="9"/>
        <v>0.59976986704263502</v>
      </c>
      <c r="R17" s="54">
        <f>Q17*[1]Datos!$K$18/100</f>
        <v>1676499.8029553366</v>
      </c>
      <c r="S17" s="179">
        <f>FGP!U16</f>
        <v>3.1786203228146634</v>
      </c>
      <c r="T17" s="180">
        <f>FGP!T16</f>
        <v>46796824.788590088</v>
      </c>
      <c r="U17" s="181">
        <f>FFM!S17</f>
        <v>2.1231751256794591</v>
      </c>
      <c r="V17" s="182">
        <f>FFM!N17</f>
        <v>0</v>
      </c>
      <c r="W17" s="183">
        <f>FFM!Q17</f>
        <v>15326667.816216646</v>
      </c>
      <c r="X17" s="434">
        <f>FOFIR!I16</f>
        <v>0.20248097882784363</v>
      </c>
      <c r="Y17" s="183">
        <f>FOFIR!K16</f>
        <v>1265895.2001501694</v>
      </c>
      <c r="Z17" s="434">
        <f>'IEPS TyA'!E17</f>
        <v>0.05</v>
      </c>
      <c r="AA17" s="183">
        <f>'IEPS TyA'!G17</f>
        <v>1509822</v>
      </c>
      <c r="AB17" s="434">
        <f>'IEPS GyD '!F16</f>
        <v>2.4906650861521529</v>
      </c>
      <c r="AC17" s="183">
        <f>'IEPS GyD '!H16</f>
        <v>1414530.5658767621</v>
      </c>
      <c r="AD17" s="438">
        <f>FGP!F16+FGP!L16+FGP!R16</f>
        <v>3.1786203228146634</v>
      </c>
      <c r="AE17" s="382">
        <f>'Incentivo ISAN'!J16</f>
        <v>260329.00443852093</v>
      </c>
      <c r="AF17" s="43">
        <f>FGP!F16+FGP!L16+FGP!R16</f>
        <v>3.1786203228146634</v>
      </c>
      <c r="AG17" s="42">
        <f>'FOCO ISAN'!J16</f>
        <v>72949.336408596515</v>
      </c>
      <c r="AH17" s="44"/>
      <c r="AI17" s="44"/>
      <c r="AJ17" s="44"/>
    </row>
    <row r="18" spans="1:36" ht="27" customHeight="1" x14ac:dyDescent="0.25">
      <c r="A18" s="45" t="s">
        <v>61</v>
      </c>
      <c r="B18" s="46">
        <v>2.81</v>
      </c>
      <c r="C18" s="47">
        <f>[1]Datos!I$13*B18%</f>
        <v>27440437.252410002</v>
      </c>
      <c r="D18" s="48">
        <f t="shared" si="0"/>
        <v>1.6311836450290742</v>
      </c>
      <c r="E18" s="52">
        <v>17698</v>
      </c>
      <c r="F18" s="50">
        <f t="shared" si="1"/>
        <v>1.6311836450290742</v>
      </c>
      <c r="G18" s="50">
        <f t="shared" si="2"/>
        <v>0.9787101870174445</v>
      </c>
      <c r="H18" s="51">
        <f>[1]Datos!$K$18*Consolidado!G18/100</f>
        <v>2735728.3615725366</v>
      </c>
      <c r="I18" s="48">
        <v>1.0861320000000001</v>
      </c>
      <c r="J18" s="48">
        <f t="shared" si="3"/>
        <v>5.0787933262291878</v>
      </c>
      <c r="K18" s="48">
        <f t="shared" si="4"/>
        <v>1.5236379978687562</v>
      </c>
      <c r="L18" s="52">
        <f>[1]Datos!$K$18*Consolidado!K18/100</f>
        <v>4258931.5395210637</v>
      </c>
      <c r="M18" s="53">
        <f t="shared" si="5"/>
        <v>6994659.9010936003</v>
      </c>
      <c r="N18" s="48">
        <f t="shared" si="6"/>
        <v>2.5023481848862006</v>
      </c>
      <c r="O18" s="48">
        <f t="shared" si="7"/>
        <v>0.3996246429812792</v>
      </c>
      <c r="P18" s="48">
        <f t="shared" si="8"/>
        <v>6.2705684668267221</v>
      </c>
      <c r="Q18" s="48">
        <f t="shared" si="9"/>
        <v>0.62705684668267225</v>
      </c>
      <c r="R18" s="54">
        <f>Q18*[1]Datos!$K$18/100</f>
        <v>1752773.4180593055</v>
      </c>
      <c r="S18" s="179">
        <f>FGP!U17</f>
        <v>2.5497660016230483</v>
      </c>
      <c r="T18" s="180">
        <f>FGP!T17</f>
        <v>40225715.75500612</v>
      </c>
      <c r="U18" s="181">
        <f>FFM!S18</f>
        <v>0.96330826846550588</v>
      </c>
      <c r="V18" s="182">
        <f>FFM!N18</f>
        <v>0</v>
      </c>
      <c r="W18" s="183">
        <f>FFM!Q18</f>
        <v>12905895.718498033</v>
      </c>
      <c r="X18" s="434">
        <f>FOFIR!I17</f>
        <v>2.5746342264788499E-2</v>
      </c>
      <c r="Y18" s="183">
        <f>FOFIR!K17</f>
        <v>754015.17483356735</v>
      </c>
      <c r="Z18" s="434">
        <f>'IEPS TyA'!E18</f>
        <v>0.05</v>
      </c>
      <c r="AA18" s="183">
        <f>'IEPS TyA'!G18</f>
        <v>1625238</v>
      </c>
      <c r="AB18" s="434">
        <f>'IEPS GyD '!F17</f>
        <v>1.5731764108208799</v>
      </c>
      <c r="AC18" s="183">
        <f>'IEPS GyD '!H17</f>
        <v>885017.37633567583</v>
      </c>
      <c r="AD18" s="438">
        <f>FGP!F17+FGP!L17+FGP!R17</f>
        <v>2.5497660016230479</v>
      </c>
      <c r="AE18" s="382">
        <f>'Incentivo ISAN'!J17</f>
        <v>208825.83553292765</v>
      </c>
      <c r="AF18" s="43">
        <f>FGP!F17+FGP!L17+FGP!R17</f>
        <v>2.5497660016230479</v>
      </c>
      <c r="AG18" s="42">
        <f>'FOCO ISAN'!J17</f>
        <v>58517.12973724895</v>
      </c>
      <c r="AH18" s="44"/>
      <c r="AI18" s="44"/>
      <c r="AJ18" s="44"/>
    </row>
    <row r="19" spans="1:36" ht="27" customHeight="1" x14ac:dyDescent="0.25">
      <c r="A19" s="45" t="s">
        <v>62</v>
      </c>
      <c r="B19" s="46">
        <v>1.6</v>
      </c>
      <c r="C19" s="47">
        <f>[1]Datos!I$13*B19%</f>
        <v>15624448.2576</v>
      </c>
      <c r="D19" s="48">
        <f t="shared" si="0"/>
        <v>1.2534804821107137</v>
      </c>
      <c r="E19" s="52">
        <v>13600</v>
      </c>
      <c r="F19" s="50">
        <f t="shared" si="1"/>
        <v>1.2534804821107137</v>
      </c>
      <c r="G19" s="50">
        <f t="shared" si="2"/>
        <v>0.75208828926642823</v>
      </c>
      <c r="H19" s="51">
        <f>[1]Datos!$K$18*Consolidado!G19/100</f>
        <v>2102266.1157976328</v>
      </c>
      <c r="I19" s="48">
        <v>0.84773799999999999</v>
      </c>
      <c r="J19" s="48">
        <f t="shared" si="3"/>
        <v>3.9640541819878972</v>
      </c>
      <c r="K19" s="48">
        <f t="shared" si="4"/>
        <v>1.1892162545963691</v>
      </c>
      <c r="L19" s="52">
        <f>[1]Datos!$K$18*Consolidado!K19/100</f>
        <v>3324143.0189429163</v>
      </c>
      <c r="M19" s="53">
        <f t="shared" si="5"/>
        <v>5426409.1347405491</v>
      </c>
      <c r="N19" s="48">
        <f t="shared" si="6"/>
        <v>1.9413045438627974</v>
      </c>
      <c r="O19" s="48">
        <f t="shared" si="7"/>
        <v>0.51511752916943432</v>
      </c>
      <c r="P19" s="48">
        <f t="shared" si="8"/>
        <v>8.0827841622141037</v>
      </c>
      <c r="Q19" s="48">
        <f t="shared" si="9"/>
        <v>0.80827841622141039</v>
      </c>
      <c r="R19" s="54">
        <f>Q19*[1]Datos!$K$18/100</f>
        <v>2259330.9200575752</v>
      </c>
      <c r="S19" s="179">
        <f>FGP!U18</f>
        <v>5.5464762223463611</v>
      </c>
      <c r="T19" s="180">
        <f>FGP!T18</f>
        <v>43436115.35394758</v>
      </c>
      <c r="U19" s="181">
        <f>FFM!S19</f>
        <v>0.75555099426939965</v>
      </c>
      <c r="V19" s="182">
        <f>FFM!N19</f>
        <v>0</v>
      </c>
      <c r="W19" s="183">
        <f>FFM!Q19</f>
        <v>7510481.9484189739</v>
      </c>
      <c r="X19" s="434">
        <f>FOFIR!I18</f>
        <v>1.6783470046192711E-2</v>
      </c>
      <c r="Y19" s="183">
        <f>FOFIR!K18</f>
        <v>565723.28330550762</v>
      </c>
      <c r="Z19" s="434">
        <f>'IEPS TyA'!E19</f>
        <v>0.05</v>
      </c>
      <c r="AA19" s="183">
        <f>'IEPS TyA'!G19</f>
        <v>2416662</v>
      </c>
      <c r="AB19" s="434">
        <f>'IEPS GyD '!F18</f>
        <v>1.212057067863342</v>
      </c>
      <c r="AC19" s="183">
        <f>'IEPS GyD '!H18</f>
        <v>669399.15798547911</v>
      </c>
      <c r="AD19" s="438">
        <f>FGP!F18+FGP!L18+FGP!R18</f>
        <v>5.5464762223463611</v>
      </c>
      <c r="AE19" s="382">
        <f>'Incentivo ISAN'!J18</f>
        <v>454256.40261016705</v>
      </c>
      <c r="AF19" s="43">
        <f>FGP!F18+FGP!L18+FGP!R18</f>
        <v>5.5464762223463611</v>
      </c>
      <c r="AG19" s="42">
        <f>'FOCO ISAN'!J18</f>
        <v>127291.62930284902</v>
      </c>
      <c r="AH19" s="44"/>
      <c r="AI19" s="44"/>
      <c r="AJ19" s="44"/>
    </row>
    <row r="20" spans="1:36" ht="27" customHeight="1" x14ac:dyDescent="0.25">
      <c r="A20" s="45" t="s">
        <v>63</v>
      </c>
      <c r="B20" s="46">
        <v>2.84</v>
      </c>
      <c r="C20" s="47">
        <f>[1]Datos!I$13*B20%</f>
        <v>27733395.65724</v>
      </c>
      <c r="D20" s="48">
        <f t="shared" si="0"/>
        <v>3.1699231045024834</v>
      </c>
      <c r="E20" s="52">
        <v>34393</v>
      </c>
      <c r="F20" s="50">
        <f t="shared" si="1"/>
        <v>3.1699231045024834</v>
      </c>
      <c r="G20" s="50">
        <f t="shared" si="2"/>
        <v>1.90195386270149</v>
      </c>
      <c r="H20" s="51">
        <f>[1]Datos!$K$18*Consolidado!G20/100</f>
        <v>5316414.5971049992</v>
      </c>
      <c r="I20" s="48">
        <v>1.369108</v>
      </c>
      <c r="J20" s="48">
        <f t="shared" si="3"/>
        <v>6.4019995482013146</v>
      </c>
      <c r="K20" s="48">
        <f t="shared" si="4"/>
        <v>1.9205998644603943</v>
      </c>
      <c r="L20" s="52">
        <f>[1]Datos!$K$18*Consolidado!K20/100</f>
        <v>5368534.6184539311</v>
      </c>
      <c r="M20" s="53">
        <f t="shared" si="5"/>
        <v>10684949.215558931</v>
      </c>
      <c r="N20" s="48">
        <f t="shared" si="6"/>
        <v>3.8225537271618846</v>
      </c>
      <c r="O20" s="48">
        <f t="shared" si="7"/>
        <v>0.26160521770938344</v>
      </c>
      <c r="P20" s="48">
        <f t="shared" si="8"/>
        <v>4.1048855663354225</v>
      </c>
      <c r="Q20" s="48">
        <f t="shared" si="9"/>
        <v>0.41048855663354228</v>
      </c>
      <c r="R20" s="54">
        <f>Q20*[1]Datos!$K$18/100</f>
        <v>1147413.4032522747</v>
      </c>
      <c r="S20" s="179">
        <f>FGP!U19</f>
        <v>3.4380952230447601</v>
      </c>
      <c r="T20" s="180">
        <f>FGP!T19</f>
        <v>44973018.790143892</v>
      </c>
      <c r="U20" s="181">
        <f>FFM!S20</f>
        <v>1.554758269699364</v>
      </c>
      <c r="V20" s="182">
        <f>FFM!N20</f>
        <v>16.897230393848186</v>
      </c>
      <c r="W20" s="183">
        <f>FFM!Q20</f>
        <v>19161805.073831841</v>
      </c>
      <c r="X20" s="434">
        <f>FOFIR!I19</f>
        <v>3.1780040618166999E-2</v>
      </c>
      <c r="Y20" s="183">
        <f>FOFIR!K19</f>
        <v>1505492.9512659886</v>
      </c>
      <c r="Z20" s="434">
        <f>'IEPS TyA'!E20</f>
        <v>0.05</v>
      </c>
      <c r="AA20" s="183">
        <f>'IEPS TyA'!G20</f>
        <v>1612872</v>
      </c>
      <c r="AB20" s="434">
        <f>'IEPS GyD '!F19</f>
        <v>2.8704119215951907</v>
      </c>
      <c r="AC20" s="183">
        <f>'IEPS GyD '!H19</f>
        <v>1733919.6152438507</v>
      </c>
      <c r="AD20" s="438">
        <f>FGP!F19+FGP!L19+FGP!R19</f>
        <v>3.4380952230447601</v>
      </c>
      <c r="AE20" s="382">
        <f>'Incentivo ISAN'!J19</f>
        <v>281579.99876736588</v>
      </c>
      <c r="AF20" s="43">
        <f>FGP!F19+FGP!L19+FGP!R19</f>
        <v>3.4380952230447601</v>
      </c>
      <c r="AG20" s="42">
        <f>'FOCO ISAN'!J19</f>
        <v>78904.285368877259</v>
      </c>
      <c r="AH20" s="44"/>
      <c r="AI20" s="44"/>
      <c r="AJ20" s="44"/>
    </row>
    <row r="21" spans="1:36" ht="27" customHeight="1" x14ac:dyDescent="0.25">
      <c r="A21" s="45" t="s">
        <v>64</v>
      </c>
      <c r="B21" s="46">
        <v>3.33</v>
      </c>
      <c r="C21" s="47">
        <f>[1]Datos!I$13*B21%</f>
        <v>32518382.936130002</v>
      </c>
      <c r="D21" s="48">
        <f t="shared" si="0"/>
        <v>2.1630833407835541</v>
      </c>
      <c r="E21" s="52">
        <v>23469</v>
      </c>
      <c r="F21" s="50">
        <f t="shared" si="1"/>
        <v>2.1630833407835541</v>
      </c>
      <c r="G21" s="50">
        <f t="shared" si="2"/>
        <v>1.2978500044701324</v>
      </c>
      <c r="H21" s="51">
        <f>[1]Datos!$K$18*Consolidado!G21/100</f>
        <v>3627800.2552687232</v>
      </c>
      <c r="I21" s="48">
        <v>0.71338900000000005</v>
      </c>
      <c r="J21" s="48">
        <f t="shared" si="3"/>
        <v>3.3358332985358259</v>
      </c>
      <c r="K21" s="48">
        <f t="shared" si="4"/>
        <v>1.0007499895607477</v>
      </c>
      <c r="L21" s="52">
        <f>[1]Datos!$K$18*Consolidado!K21/100</f>
        <v>2797334.8654191126</v>
      </c>
      <c r="M21" s="53">
        <f t="shared" si="5"/>
        <v>6425135.1206878358</v>
      </c>
      <c r="N21" s="48">
        <f t="shared" si="6"/>
        <v>2.2985999940308801</v>
      </c>
      <c r="O21" s="48">
        <f t="shared" si="7"/>
        <v>0.4350474212985514</v>
      </c>
      <c r="P21" s="48">
        <f t="shared" si="8"/>
        <v>6.8263924397094096</v>
      </c>
      <c r="Q21" s="48">
        <f t="shared" si="9"/>
        <v>0.682639243970941</v>
      </c>
      <c r="R21" s="54">
        <f>Q21*[1]Datos!$K$18/100</f>
        <v>1908139.4729780732</v>
      </c>
      <c r="S21" s="179">
        <f>FGP!U20</f>
        <v>3.6025850890168689</v>
      </c>
      <c r="T21" s="180">
        <f>FGP!T20</f>
        <v>50582806.755045637</v>
      </c>
      <c r="U21" s="181">
        <f>FFM!S21</f>
        <v>1.2381378891256662</v>
      </c>
      <c r="V21" s="182">
        <f>FFM!N21</f>
        <v>0</v>
      </c>
      <c r="W21" s="183">
        <f>FFM!Q21</f>
        <v>15369698.323939323</v>
      </c>
      <c r="X21" s="434">
        <f>FOFIR!I20</f>
        <v>3.6986676213597962E-2</v>
      </c>
      <c r="Y21" s="183">
        <f>FOFIR!K20</f>
        <v>987189.00888366788</v>
      </c>
      <c r="Z21" s="434">
        <f>'IEPS TyA'!E21</f>
        <v>0.05</v>
      </c>
      <c r="AA21" s="183">
        <f>'IEPS TyA'!G21</f>
        <v>1462419</v>
      </c>
      <c r="AB21" s="434">
        <f>'IEPS GyD '!F20</f>
        <v>2.0950002116760511</v>
      </c>
      <c r="AC21" s="183">
        <f>'IEPS GyD '!H20</f>
        <v>1162805.7681861478</v>
      </c>
      <c r="AD21" s="438">
        <f>FGP!F20+FGP!L20+FGP!R20</f>
        <v>3.6025850890168689</v>
      </c>
      <c r="AE21" s="382">
        <f>'Incentivo ISAN'!J20</f>
        <v>295051.71879048162</v>
      </c>
      <c r="AF21" s="43">
        <f>FGP!F20+FGP!L20+FGP!R20</f>
        <v>3.6025850890168689</v>
      </c>
      <c r="AG21" s="42">
        <f>'FOCO ISAN'!J20</f>
        <v>82679.32779293714</v>
      </c>
      <c r="AH21" s="44"/>
      <c r="AI21" s="44"/>
      <c r="AJ21" s="44"/>
    </row>
    <row r="22" spans="1:36" ht="27" customHeight="1" x14ac:dyDescent="0.25">
      <c r="A22" s="45" t="s">
        <v>65</v>
      </c>
      <c r="B22" s="46">
        <v>4.6900000000000004</v>
      </c>
      <c r="C22" s="47">
        <f>[1]Datos!I$13*B22%</f>
        <v>45799163.955090009</v>
      </c>
      <c r="D22" s="48">
        <f t="shared" si="0"/>
        <v>3.9742704697510276</v>
      </c>
      <c r="E22" s="52">
        <v>43120</v>
      </c>
      <c r="F22" s="50">
        <f t="shared" si="1"/>
        <v>3.9742704697510276</v>
      </c>
      <c r="G22" s="50">
        <f t="shared" si="2"/>
        <v>2.3845622818506165</v>
      </c>
      <c r="H22" s="51">
        <f>[1]Datos!$K$18*Consolidado!G22/100</f>
        <v>6665420.2142054355</v>
      </c>
      <c r="I22" s="48">
        <v>0.39641700000000002</v>
      </c>
      <c r="J22" s="48">
        <f t="shared" si="3"/>
        <v>1.8536605256118004</v>
      </c>
      <c r="K22" s="48">
        <f t="shared" si="4"/>
        <v>0.5560981576835401</v>
      </c>
      <c r="L22" s="52">
        <f>[1]Datos!$K$18*Consolidado!K22/100</f>
        <v>1554426.96108974</v>
      </c>
      <c r="M22" s="53">
        <f t="shared" si="5"/>
        <v>8219847.175295176</v>
      </c>
      <c r="N22" s="48">
        <f t="shared" si="6"/>
        <v>2.9406604395341565</v>
      </c>
      <c r="O22" s="48">
        <f t="shared" si="7"/>
        <v>0.3400596636578736</v>
      </c>
      <c r="P22" s="48">
        <f t="shared" si="8"/>
        <v>5.3359257023412736</v>
      </c>
      <c r="Q22" s="48">
        <f t="shared" si="9"/>
        <v>0.53359257023412743</v>
      </c>
      <c r="R22" s="54">
        <f>Q22*[1]Datos!$K$18/100</f>
        <v>1491518.4773568413</v>
      </c>
      <c r="S22" s="179">
        <f>FGP!U21</f>
        <v>4.5895437859296671</v>
      </c>
      <c r="T22" s="180">
        <f>FGP!T21</f>
        <v>68812489.674241662</v>
      </c>
      <c r="U22" s="181">
        <f>FFM!S22</f>
        <v>2.2912592270884318</v>
      </c>
      <c r="V22" s="182">
        <f>FFM!N22</f>
        <v>0</v>
      </c>
      <c r="W22" s="183">
        <f>FFM!Q22</f>
        <v>22074969.126139231</v>
      </c>
      <c r="X22" s="434">
        <f>FOFIR!I21</f>
        <v>0.14807794128171675</v>
      </c>
      <c r="Y22" s="183">
        <f>FOFIR!K21</f>
        <v>1793313.501532302</v>
      </c>
      <c r="Z22" s="434">
        <f>'IEPS TyA'!E22</f>
        <v>0.05</v>
      </c>
      <c r="AA22" s="183">
        <f>'IEPS TyA'!G22</f>
        <v>1204794</v>
      </c>
      <c r="AB22" s="434">
        <f>'IEPS GyD '!F21</f>
        <v>3.7237204182718768</v>
      </c>
      <c r="AC22" s="183">
        <f>'IEPS GyD '!H21</f>
        <v>2075311.8147358284</v>
      </c>
      <c r="AD22" s="438">
        <f>FGP!F21+FGP!L21+FGP!R21</f>
        <v>4.5895437859296671</v>
      </c>
      <c r="AE22" s="382">
        <f>'Incentivo ISAN'!J21</f>
        <v>375883.63606763975</v>
      </c>
      <c r="AF22" s="43">
        <f>FGP!F21+FGP!L21+FGP!R21</f>
        <v>4.5895437859296671</v>
      </c>
      <c r="AG22" s="42">
        <f>'FOCO ISAN'!J21</f>
        <v>105330.02988708587</v>
      </c>
      <c r="AH22" s="44"/>
      <c r="AI22" s="44"/>
      <c r="AJ22" s="44"/>
    </row>
    <row r="23" spans="1:36" ht="27" customHeight="1" x14ac:dyDescent="0.25">
      <c r="A23" s="45" t="s">
        <v>66</v>
      </c>
      <c r="B23" s="46">
        <v>2.13</v>
      </c>
      <c r="C23" s="47">
        <f>[1]Datos!I$13*B23%</f>
        <v>20800046.742929999</v>
      </c>
      <c r="D23" s="48">
        <f t="shared" si="0"/>
        <v>0.69217929563613667</v>
      </c>
      <c r="E23" s="52">
        <v>7510</v>
      </c>
      <c r="F23" s="50">
        <f t="shared" si="1"/>
        <v>0.69217929563613667</v>
      </c>
      <c r="G23" s="50">
        <f t="shared" si="2"/>
        <v>0.415307577381682</v>
      </c>
      <c r="H23" s="51">
        <f>[1]Datos!$K$18*Consolidado!G23/100</f>
        <v>1160883.7154147222</v>
      </c>
      <c r="I23" s="48">
        <v>0.79456599999999999</v>
      </c>
      <c r="J23" s="48">
        <f t="shared" si="3"/>
        <v>3.7154199471598481</v>
      </c>
      <c r="K23" s="48">
        <f t="shared" si="4"/>
        <v>1.1146259841479544</v>
      </c>
      <c r="L23" s="52">
        <f>[1]Datos!$K$18*Consolidado!K23/100</f>
        <v>3115645.4258148116</v>
      </c>
      <c r="M23" s="53">
        <f t="shared" si="5"/>
        <v>4276529.1412295336</v>
      </c>
      <c r="N23" s="48">
        <f t="shared" si="6"/>
        <v>1.5299335615296363</v>
      </c>
      <c r="O23" s="48">
        <f t="shared" si="7"/>
        <v>0.65362315406702642</v>
      </c>
      <c r="P23" s="48">
        <f t="shared" si="8"/>
        <v>10.256096091833161</v>
      </c>
      <c r="Q23" s="48">
        <f t="shared" si="9"/>
        <v>1.0256096091833162</v>
      </c>
      <c r="R23" s="54">
        <f>Q23*[1]Datos!$K$18/100</f>
        <v>2866823.43043203</v>
      </c>
      <c r="S23" s="179">
        <f>FGP!U22</f>
        <v>3.032463384072948</v>
      </c>
      <c r="T23" s="180">
        <f>FGP!T22</f>
        <v>36005712.239143461</v>
      </c>
      <c r="U23" s="181">
        <f>FFM!S23</f>
        <v>0.45178836985546217</v>
      </c>
      <c r="V23" s="182">
        <f>FFM!N23</f>
        <v>12.299047870463465</v>
      </c>
      <c r="W23" s="183">
        <f>FFM!Q23</f>
        <v>13687410.573405467</v>
      </c>
      <c r="X23" s="434">
        <f>FOFIR!I22</f>
        <v>7.8979995889424115E-3</v>
      </c>
      <c r="Y23" s="183">
        <f>FOFIR!K22</f>
        <v>333379.13772067218</v>
      </c>
      <c r="Z23" s="434">
        <f>'IEPS TyA'!E23</f>
        <v>0.05</v>
      </c>
      <c r="AA23" s="183">
        <f>'IEPS TyA'!G23</f>
        <v>1959120</v>
      </c>
      <c r="AB23" s="434">
        <f>'IEPS GyD '!F22</f>
        <v>0.63494348249439059</v>
      </c>
      <c r="AC23" s="183">
        <f>'IEPS GyD '!H22</f>
        <v>383595.54429850553</v>
      </c>
      <c r="AD23" s="438">
        <f>FGP!F22+FGP!L22+FGP!R22</f>
        <v>3.032463384072948</v>
      </c>
      <c r="AE23" s="382">
        <f>'Incentivo ISAN'!J22</f>
        <v>248358.75115557443</v>
      </c>
      <c r="AF23" s="43">
        <f>FGP!F22+FGP!L22+FGP!R22</f>
        <v>3.032463384072948</v>
      </c>
      <c r="AG23" s="42">
        <f>'FOCO ISAN'!J22</f>
        <v>69595.034664474151</v>
      </c>
      <c r="AH23" s="44"/>
      <c r="AI23" s="44"/>
      <c r="AJ23" s="44"/>
    </row>
    <row r="24" spans="1:36" ht="27" customHeight="1" x14ac:dyDescent="0.25">
      <c r="A24" s="45" t="s">
        <v>67</v>
      </c>
      <c r="B24" s="46">
        <v>2.81</v>
      </c>
      <c r="C24" s="47">
        <f>[1]Datos!I$13*B24%</f>
        <v>27440437.252410002</v>
      </c>
      <c r="D24" s="48">
        <f t="shared" si="0"/>
        <v>2.0656621003724496</v>
      </c>
      <c r="E24" s="52">
        <v>22412</v>
      </c>
      <c r="F24" s="50">
        <f t="shared" si="1"/>
        <v>2.0656621003724496</v>
      </c>
      <c r="G24" s="50">
        <f t="shared" si="2"/>
        <v>1.2393972602234697</v>
      </c>
      <c r="H24" s="51">
        <f>[1]Datos!$K$18*Consolidado!G24/100</f>
        <v>3464410.8961218046</v>
      </c>
      <c r="I24" s="48">
        <v>1.099386</v>
      </c>
      <c r="J24" s="48">
        <f t="shared" si="3"/>
        <v>5.1407695194965264</v>
      </c>
      <c r="K24" s="48">
        <f t="shared" si="4"/>
        <v>1.5422308558489579</v>
      </c>
      <c r="L24" s="52">
        <f>[1]Datos!$K$18*Consolidado!K24/100</f>
        <v>4310903.0113355508</v>
      </c>
      <c r="M24" s="53">
        <f t="shared" si="5"/>
        <v>7775313.9074573554</v>
      </c>
      <c r="N24" s="48">
        <f t="shared" si="6"/>
        <v>2.7816281160724277</v>
      </c>
      <c r="O24" s="48">
        <f t="shared" si="7"/>
        <v>0.35950168687968576</v>
      </c>
      <c r="P24" s="48">
        <f t="shared" si="8"/>
        <v>5.6409933198848687</v>
      </c>
      <c r="Q24" s="48">
        <f t="shared" si="9"/>
        <v>0.56409933198848694</v>
      </c>
      <c r="R24" s="54">
        <f>Q24*[1]Datos!$K$18/100</f>
        <v>1576792.1512780979</v>
      </c>
      <c r="S24" s="179">
        <f>FGP!U23</f>
        <v>3.1334793340209686</v>
      </c>
      <c r="T24" s="180">
        <f>FGP!T23</f>
        <v>43152626.505104505</v>
      </c>
      <c r="U24" s="181">
        <f>FFM!S24</f>
        <v>1.3131299699425867</v>
      </c>
      <c r="V24" s="182">
        <f>FFM!N24</f>
        <v>0</v>
      </c>
      <c r="W24" s="183">
        <f>FFM!Q24</f>
        <v>13179486.091063503</v>
      </c>
      <c r="X24" s="434">
        <f>FOFIR!I23</f>
        <v>5.8765867790001536E-2</v>
      </c>
      <c r="Y24" s="183">
        <f>FOFIR!K23</f>
        <v>1025718.1335069841</v>
      </c>
      <c r="Z24" s="434">
        <f>'IEPS TyA'!E24</f>
        <v>0.05</v>
      </c>
      <c r="AA24" s="183">
        <f>'IEPS TyA'!G24</f>
        <v>1625238</v>
      </c>
      <c r="AB24" s="434">
        <f>'IEPS GyD '!F23</f>
        <v>1.9878074594640365</v>
      </c>
      <c r="AC24" s="183">
        <f>'IEPS GyD '!H23</f>
        <v>1174477.5778798526</v>
      </c>
      <c r="AD24" s="438">
        <f>FGP!F23+FGP!L23+FGP!R23</f>
        <v>3.1334793340209686</v>
      </c>
      <c r="AE24" s="382">
        <f>'Incentivo ISAN'!J23</f>
        <v>256631.95745631732</v>
      </c>
      <c r="AF24" s="43">
        <f>FGP!F23+FGP!L23+FGP!R23</f>
        <v>3.1334793340209686</v>
      </c>
      <c r="AG24" s="42">
        <f>'FOCO ISAN'!J23</f>
        <v>71913.350715781213</v>
      </c>
      <c r="AH24" s="44"/>
      <c r="AI24" s="44"/>
      <c r="AJ24" s="44"/>
    </row>
    <row r="25" spans="1:36" ht="27" customHeight="1" x14ac:dyDescent="0.25">
      <c r="A25" s="45" t="s">
        <v>68</v>
      </c>
      <c r="B25" s="46">
        <v>8.34</v>
      </c>
      <c r="C25" s="47">
        <f>[1]Datos!I$13*B25%</f>
        <v>81442436.542740002</v>
      </c>
      <c r="D25" s="48">
        <f t="shared" si="0"/>
        <v>8.5784148817626882</v>
      </c>
      <c r="E25" s="52">
        <v>93074</v>
      </c>
      <c r="F25" s="50">
        <f t="shared" si="1"/>
        <v>8.5784148817626882</v>
      </c>
      <c r="G25" s="50">
        <f t="shared" si="2"/>
        <v>5.1470489290576129</v>
      </c>
      <c r="H25" s="51">
        <f>[1]Datos!$K$18*Consolidado!G25/100</f>
        <v>14387229.15159918</v>
      </c>
      <c r="I25" s="48">
        <v>0.94212600000000002</v>
      </c>
      <c r="J25" s="48">
        <f t="shared" si="3"/>
        <v>4.4054159542919269</v>
      </c>
      <c r="K25" s="48">
        <f t="shared" si="4"/>
        <v>1.3216247862875781</v>
      </c>
      <c r="L25" s="52">
        <f>[1]Datos!$K$18*Consolidado!K25/100</f>
        <v>3694256.4399196613</v>
      </c>
      <c r="M25" s="53">
        <f t="shared" si="5"/>
        <v>18081485.591518842</v>
      </c>
      <c r="N25" s="48">
        <f t="shared" si="6"/>
        <v>6.468673715345191</v>
      </c>
      <c r="O25" s="48">
        <f t="shared" si="7"/>
        <v>0.1545911950432387</v>
      </c>
      <c r="P25" s="48">
        <f t="shared" si="8"/>
        <v>2.4257129531739197</v>
      </c>
      <c r="Q25" s="48">
        <f t="shared" si="9"/>
        <v>0.24257129531739197</v>
      </c>
      <c r="R25" s="54">
        <f>Q25*[1]Datos!$K$18/100</f>
        <v>678044.61535797687</v>
      </c>
      <c r="S25" s="179">
        <f>FGP!U24</f>
        <v>6.5398695916412262</v>
      </c>
      <c r="T25" s="180">
        <f>FGP!T24</f>
        <v>114235270.88383965</v>
      </c>
      <c r="U25" s="181">
        <f>FFM!S25</f>
        <v>5.2292028698431157</v>
      </c>
      <c r="V25" s="182">
        <f>FFM!N25</f>
        <v>58.800196128354607</v>
      </c>
      <c r="W25" s="183">
        <f>FFM!Q25</f>
        <v>59866588.276646152</v>
      </c>
      <c r="X25" s="434">
        <f>FOFIR!I24</f>
        <v>0.8345062445589736</v>
      </c>
      <c r="Y25" s="183">
        <f>FOFIR!K24</f>
        <v>4208283.1965189027</v>
      </c>
      <c r="Z25" s="434">
        <f>'IEPS TyA'!E25</f>
        <v>0.05</v>
      </c>
      <c r="AA25" s="183">
        <f>'IEPS TyA'!G25</f>
        <v>928620</v>
      </c>
      <c r="AB25" s="434">
        <f>'IEPS GyD '!F24</f>
        <v>8.2824605224164927</v>
      </c>
      <c r="AC25" s="183">
        <f>'IEPS GyD '!H24</f>
        <v>4652632.195783413</v>
      </c>
      <c r="AD25" s="438">
        <f>FGP!F24+FGP!L24+FGP!R24</f>
        <v>6.5398695916412262</v>
      </c>
      <c r="AE25" s="382">
        <f>'Incentivo ISAN'!J24</f>
        <v>535615.31955541647</v>
      </c>
      <c r="AF25" s="43">
        <f>FGP!F24+FGP!L24+FGP!R24</f>
        <v>6.5398695916412262</v>
      </c>
      <c r="AG25" s="42">
        <f>'FOCO ISAN'!J24</f>
        <v>150090.00712816612</v>
      </c>
      <c r="AH25" s="44"/>
      <c r="AI25" s="44"/>
      <c r="AJ25" s="44"/>
    </row>
    <row r="26" spans="1:36" ht="27" customHeight="1" x14ac:dyDescent="0.25">
      <c r="A26" s="45" t="s">
        <v>69</v>
      </c>
      <c r="B26" s="46">
        <v>3.5</v>
      </c>
      <c r="C26" s="47">
        <f>[1]Datos!I$13*B26%</f>
        <v>34178480.563500002</v>
      </c>
      <c r="D26" s="48">
        <f t="shared" si="0"/>
        <v>3.6642183857936419</v>
      </c>
      <c r="E26" s="52">
        <v>39756</v>
      </c>
      <c r="F26" s="50">
        <f t="shared" si="1"/>
        <v>3.6642183857936419</v>
      </c>
      <c r="G26" s="50">
        <f t="shared" si="2"/>
        <v>2.1985310314761852</v>
      </c>
      <c r="H26" s="51">
        <f>[1]Datos!$K$18*Consolidado!G26/100</f>
        <v>6145418.5073272558</v>
      </c>
      <c r="I26" s="48">
        <v>2.345564</v>
      </c>
      <c r="J26" s="48">
        <f t="shared" si="3"/>
        <v>10.967943849774647</v>
      </c>
      <c r="K26" s="48">
        <f t="shared" si="4"/>
        <v>3.2903831549323939</v>
      </c>
      <c r="L26" s="52">
        <f>[1]Datos!$K$18*Consolidado!K26/100</f>
        <v>9197405.5617228691</v>
      </c>
      <c r="M26" s="53">
        <f t="shared" si="5"/>
        <v>15342824.069050126</v>
      </c>
      <c r="N26" s="48">
        <f t="shared" si="6"/>
        <v>5.4889141864085786</v>
      </c>
      <c r="O26" s="48">
        <f t="shared" si="7"/>
        <v>0.18218539515085852</v>
      </c>
      <c r="P26" s="48">
        <f t="shared" si="8"/>
        <v>2.8586975653622453</v>
      </c>
      <c r="Q26" s="48">
        <f t="shared" si="9"/>
        <v>0.28586975653622454</v>
      </c>
      <c r="R26" s="54">
        <f>Q26*[1]Datos!$K$18/100</f>
        <v>799074.13966464216</v>
      </c>
      <c r="S26" s="179">
        <f>FGP!U25</f>
        <v>3.0839396173556919</v>
      </c>
      <c r="T26" s="180">
        <f>FGP!T25</f>
        <v>49642263.070594288</v>
      </c>
      <c r="U26" s="181">
        <f>FFM!S26</f>
        <v>1.9917520514617313</v>
      </c>
      <c r="V26" s="182">
        <f>FFM!N26</f>
        <v>0</v>
      </c>
      <c r="W26" s="183">
        <f>FFM!Q26</f>
        <v>16694293.825583842</v>
      </c>
      <c r="X26" s="434">
        <f>FOFIR!I25</f>
        <v>9.6633601661383878E-2</v>
      </c>
      <c r="Y26" s="183">
        <f>FOFIR!K25</f>
        <v>1761964.2727149548</v>
      </c>
      <c r="Z26" s="434">
        <f>'IEPS TyA'!E26</f>
        <v>0.05</v>
      </c>
      <c r="AA26" s="183">
        <f>'IEPS TyA'!G26</f>
        <v>1419138</v>
      </c>
      <c r="AB26" s="434">
        <f>'IEPS GyD '!F25</f>
        <v>3.3629397569958934</v>
      </c>
      <c r="AC26" s="183">
        <f>'IEPS GyD '!H25</f>
        <v>2011348.3692223025</v>
      </c>
      <c r="AD26" s="438">
        <f>FGP!F25+FGP!L25+FGP!R25</f>
        <v>3.0839396173556919</v>
      </c>
      <c r="AE26" s="382">
        <f>'Incentivo ISAN'!J25</f>
        <v>252574.65466143121</v>
      </c>
      <c r="AF26" s="43">
        <f>FGP!F25+FGP!L25+FGP!R25</f>
        <v>3.0839396173556919</v>
      </c>
      <c r="AG26" s="42">
        <f>'FOCO ISAN'!J25</f>
        <v>70776.414218313133</v>
      </c>
      <c r="AH26" s="44"/>
      <c r="AI26" s="44"/>
      <c r="AJ26" s="44"/>
    </row>
    <row r="27" spans="1:36" ht="27" customHeight="1" x14ac:dyDescent="0.25">
      <c r="A27" s="45" t="s">
        <v>70</v>
      </c>
      <c r="B27" s="46">
        <v>39</v>
      </c>
      <c r="C27" s="47">
        <f>[1]Datos!I$13*B27%</f>
        <v>380845926.27900004</v>
      </c>
      <c r="D27" s="48">
        <f t="shared" si="0"/>
        <v>35.046669106037996</v>
      </c>
      <c r="E27" s="52">
        <v>380249</v>
      </c>
      <c r="F27" s="50">
        <f t="shared" si="1"/>
        <v>35.046669106037996</v>
      </c>
      <c r="G27" s="50">
        <f t="shared" si="2"/>
        <v>21.028001463622797</v>
      </c>
      <c r="H27" s="51">
        <f>[1]Datos!$K$18*Consolidado!G27/100</f>
        <v>58778278.548965737</v>
      </c>
      <c r="I27" s="48">
        <v>0.84406499999999995</v>
      </c>
      <c r="J27" s="48">
        <f t="shared" si="3"/>
        <v>3.9468790984002302</v>
      </c>
      <c r="K27" s="48">
        <f t="shared" si="4"/>
        <v>1.1840637295200691</v>
      </c>
      <c r="L27" s="52">
        <f>[1]Datos!$K$18*Consolidado!K27/100</f>
        <v>3309740.482653901</v>
      </c>
      <c r="M27" s="53">
        <f t="shared" si="5"/>
        <v>62088019.031619638</v>
      </c>
      <c r="N27" s="48">
        <f t="shared" si="6"/>
        <v>22.212065193142866</v>
      </c>
      <c r="O27" s="48">
        <f t="shared" si="7"/>
        <v>4.5020577389116981E-2</v>
      </c>
      <c r="P27" s="48">
        <f t="shared" si="8"/>
        <v>0.7064244357617202</v>
      </c>
      <c r="Q27" s="48">
        <f t="shared" si="9"/>
        <v>7.0642443576172026E-2</v>
      </c>
      <c r="R27" s="54">
        <f>Q27*[1]Datos!$K$18/100</f>
        <v>197462.47559869001</v>
      </c>
      <c r="S27" s="179">
        <f>FGP!U26</f>
        <v>23.405508091276904</v>
      </c>
      <c r="T27" s="180">
        <f>FGP!T26</f>
        <v>498208044.70526254</v>
      </c>
      <c r="U27" s="181">
        <f>FFM!S27</f>
        <v>40.603057455208855</v>
      </c>
      <c r="V27" s="182">
        <f>FFM!N27</f>
        <v>0</v>
      </c>
      <c r="W27" s="183">
        <f>FFM!Q27</f>
        <v>200419732.14564404</v>
      </c>
      <c r="X27" s="434">
        <f>FOFIR!I26</f>
        <v>74.894671746028223</v>
      </c>
      <c r="Y27" s="183">
        <f>FOFIR!K26</f>
        <v>42000588.727610186</v>
      </c>
      <c r="Z27" s="434">
        <f>'IEPS TyA'!E27</f>
        <v>0.05</v>
      </c>
      <c r="AA27" s="183">
        <f>'IEPS TyA'!G27</f>
        <v>654507</v>
      </c>
      <c r="AB27" s="434">
        <f>'IEPS GyD '!F26</f>
        <v>35.020363236103471</v>
      </c>
      <c r="AC27" s="183">
        <f>'IEPS GyD '!H26</f>
        <v>18845719.657429829</v>
      </c>
      <c r="AD27" s="438">
        <f>FGP!F26+FGP!L26+FGP!R26</f>
        <v>23.405508091276904</v>
      </c>
      <c r="AE27" s="382">
        <f>'Incentivo ISAN'!J26</f>
        <v>1916911.1126755786</v>
      </c>
      <c r="AF27" s="43">
        <f>FGP!F26+FGP!L26+FGP!R26</f>
        <v>23.405508091276904</v>
      </c>
      <c r="AG27" s="42">
        <f>'FOCO ISAN'!J26</f>
        <v>537156.41069480486</v>
      </c>
      <c r="AH27" s="44"/>
      <c r="AI27" s="44"/>
      <c r="AJ27" s="44"/>
    </row>
    <row r="28" spans="1:36" ht="27" customHeight="1" x14ac:dyDescent="0.25">
      <c r="A28" s="45" t="s">
        <v>71</v>
      </c>
      <c r="B28" s="46">
        <v>3.79</v>
      </c>
      <c r="C28" s="47">
        <f>[1]Datos!I$13*B28%</f>
        <v>37010411.810190007</v>
      </c>
      <c r="D28" s="48">
        <f t="shared" si="0"/>
        <v>2.7677955057194654</v>
      </c>
      <c r="E28" s="52">
        <v>30030</v>
      </c>
      <c r="F28" s="50">
        <f t="shared" si="1"/>
        <v>2.7677955057194654</v>
      </c>
      <c r="G28" s="50">
        <f t="shared" si="2"/>
        <v>1.6606773034316793</v>
      </c>
      <c r="H28" s="51">
        <f>[1]Datos!$K$18*Consolidado!G28/100</f>
        <v>4641989.0777502144</v>
      </c>
      <c r="I28" s="48">
        <v>0.97075900000000004</v>
      </c>
      <c r="J28" s="48">
        <f t="shared" si="3"/>
        <v>4.5393049192703279</v>
      </c>
      <c r="K28" s="48">
        <f t="shared" si="4"/>
        <v>1.3617914757810983</v>
      </c>
      <c r="L28" s="52">
        <f>[1]Datos!$K$18*Consolidado!K28/100</f>
        <v>3806531.9154337854</v>
      </c>
      <c r="M28" s="53">
        <f t="shared" si="5"/>
        <v>8448520.9931840003</v>
      </c>
      <c r="N28" s="48">
        <f t="shared" si="6"/>
        <v>3.0224687792127778</v>
      </c>
      <c r="O28" s="48">
        <f t="shared" si="7"/>
        <v>0.33085536131177395</v>
      </c>
      <c r="P28" s="48">
        <f t="shared" si="8"/>
        <v>5.1914996538873615</v>
      </c>
      <c r="Q28" s="48">
        <f t="shared" si="9"/>
        <v>0.51914996538873615</v>
      </c>
      <c r="R28" s="54">
        <f>Q28*[1]Datos!$K$18/100</f>
        <v>1451147.9527473762</v>
      </c>
      <c r="S28" s="179">
        <f>FGP!U27</f>
        <v>3.4827188610871178</v>
      </c>
      <c r="T28" s="180">
        <f>FGP!T27</f>
        <v>54473791.021027088</v>
      </c>
      <c r="U28" s="181">
        <f>FFM!S28</f>
        <v>1.4231330186246707</v>
      </c>
      <c r="V28" s="182">
        <f>FFM!N28</f>
        <v>11.535138287146635</v>
      </c>
      <c r="W28" s="183">
        <f>FFM!Q28</f>
        <v>21370098.938591026</v>
      </c>
      <c r="X28" s="434">
        <f>FOFIR!I27</f>
        <v>3.0954756539962963E-2</v>
      </c>
      <c r="Y28" s="183">
        <f>FOFIR!K27</f>
        <v>1333292.031633036</v>
      </c>
      <c r="Z28" s="434">
        <f>'IEPS TyA'!E28</f>
        <v>0.05</v>
      </c>
      <c r="AA28" s="183">
        <f>'IEPS TyA'!G28</f>
        <v>1355247</v>
      </c>
      <c r="AB28" s="434">
        <f>'IEPS GyD '!F27</f>
        <v>2.5879513991786967</v>
      </c>
      <c r="AC28" s="183">
        <f>'IEPS GyD '!H27</f>
        <v>1541366.3444604375</v>
      </c>
      <c r="AD28" s="438">
        <f>FGP!F27+FGP!L27+FGP!R27</f>
        <v>3.4827188610871178</v>
      </c>
      <c r="AE28" s="382">
        <f>'Incentivo ISAN'!J27</f>
        <v>285234.6747230349</v>
      </c>
      <c r="AF28" s="43">
        <f>FGP!F27+FGP!L27+FGP!R27</f>
        <v>3.4827188610871178</v>
      </c>
      <c r="AG28" s="42">
        <f>'FOCO ISAN'!J27</f>
        <v>79928.397861949357</v>
      </c>
      <c r="AH28" s="44"/>
      <c r="AI28" s="44"/>
      <c r="AJ28" s="44"/>
    </row>
    <row r="29" spans="1:36" ht="27" customHeight="1" thickBot="1" x14ac:dyDescent="0.3">
      <c r="A29" s="55" t="s">
        <v>72</v>
      </c>
      <c r="B29" s="56">
        <v>3.1</v>
      </c>
      <c r="C29" s="57">
        <f>[1]Datos!I$13*B29%</f>
        <v>30272368.4991</v>
      </c>
      <c r="D29" s="58">
        <f t="shared" si="0"/>
        <v>4.5256175465147246</v>
      </c>
      <c r="E29" s="59">
        <v>49102</v>
      </c>
      <c r="F29" s="60">
        <f t="shared" si="1"/>
        <v>4.5256175465147246</v>
      </c>
      <c r="G29" s="60">
        <f t="shared" si="2"/>
        <v>2.7153705279088345</v>
      </c>
      <c r="H29" s="61">
        <f>[1]Datos!$K$18*Consolidado!G29/100</f>
        <v>7590108.1483746581</v>
      </c>
      <c r="I29" s="58">
        <v>1.0003390000000001</v>
      </c>
      <c r="J29" s="58">
        <f t="shared" si="3"/>
        <v>4.6776220912069428</v>
      </c>
      <c r="K29" s="58">
        <f t="shared" si="4"/>
        <v>1.4032866273620828</v>
      </c>
      <c r="L29" s="59">
        <f>[1]Datos!$K$18*Consolidado!K29/100</f>
        <v>3922520.7592750802</v>
      </c>
      <c r="M29" s="62">
        <f t="shared" si="5"/>
        <v>11512628.907649739</v>
      </c>
      <c r="N29" s="58">
        <f t="shared" si="6"/>
        <v>4.1186571552709168</v>
      </c>
      <c r="O29" s="58">
        <f t="shared" si="7"/>
        <v>0.24279758239168661</v>
      </c>
      <c r="P29" s="58">
        <f t="shared" si="8"/>
        <v>3.80977222177561</v>
      </c>
      <c r="Q29" s="58">
        <f t="shared" si="9"/>
        <v>0.38097722217756103</v>
      </c>
      <c r="R29" s="63">
        <f>Q29*[1]Datos!$K$18/100</f>
        <v>1064922.1860053025</v>
      </c>
      <c r="S29" s="179">
        <f>FGP!U28</f>
        <v>4.4110544443380899</v>
      </c>
      <c r="T29" s="180">
        <f>FGP!T28</f>
        <v>52390696.033892497</v>
      </c>
      <c r="U29" s="181">
        <f>FFM!S29</f>
        <v>4.191943183583172</v>
      </c>
      <c r="V29" s="182">
        <f>FFM!N29</f>
        <v>0</v>
      </c>
      <c r="W29" s="183">
        <f>FFM!Q29</f>
        <v>16685136.553585736</v>
      </c>
      <c r="X29" s="435">
        <f>FOFIR!I28</f>
        <v>0.79291372217871958</v>
      </c>
      <c r="Y29" s="436">
        <f>FOFIR!K28</f>
        <v>2271761.6235067975</v>
      </c>
      <c r="Z29" s="435">
        <f>'IEPS TyA'!E29</f>
        <v>0.05</v>
      </c>
      <c r="AA29" s="183">
        <f>'IEPS TyA'!G29</f>
        <v>1526310</v>
      </c>
      <c r="AB29" s="435">
        <f>'IEPS GyD '!F28</f>
        <v>4.8616061978747727</v>
      </c>
      <c r="AC29" s="436">
        <f>'IEPS GyD '!H28</f>
        <v>2461845.7964904113</v>
      </c>
      <c r="AD29" s="439">
        <f>FGP!F28+FGP!L28+FGP!R28</f>
        <v>4.4110544443380899</v>
      </c>
      <c r="AE29" s="382">
        <f>'Incentivo ISAN'!J28</f>
        <v>361265.35899128951</v>
      </c>
      <c r="AF29" s="43">
        <f>FGP!F28+FGP!L28+FGP!R28</f>
        <v>4.4110544443380899</v>
      </c>
      <c r="AG29" s="42">
        <f>'FOCO ISAN'!J28</f>
        <v>101233.69949755915</v>
      </c>
      <c r="AH29" s="44"/>
      <c r="AI29" s="44"/>
      <c r="AJ29" s="44"/>
    </row>
    <row r="30" spans="1:36" ht="15.75" thickBot="1" x14ac:dyDescent="0.3">
      <c r="A30" s="64" t="s">
        <v>73</v>
      </c>
      <c r="B30" s="65">
        <f>SUM(B10:B29)</f>
        <v>100</v>
      </c>
      <c r="C30" s="66">
        <f>SUM(C10:C29)</f>
        <v>976528016.0999999</v>
      </c>
      <c r="D30" s="67">
        <f>SUM(D10:D29)</f>
        <v>99.999999999999986</v>
      </c>
      <c r="E30" s="68">
        <f>SUM(E10:E29)</f>
        <v>1084979</v>
      </c>
      <c r="F30" s="69">
        <f t="shared" si="1"/>
        <v>99.999999999999986</v>
      </c>
      <c r="G30" s="69">
        <f t="shared" ref="G30:L30" si="10">SUM(G10:G29)</f>
        <v>59.999999999999993</v>
      </c>
      <c r="H30" s="70">
        <f t="shared" si="10"/>
        <v>167714307.94499996</v>
      </c>
      <c r="I30" s="71">
        <f t="shared" si="10"/>
        <v>21.385630999999997</v>
      </c>
      <c r="J30" s="72">
        <f t="shared" si="10"/>
        <v>100.00000000000001</v>
      </c>
      <c r="K30" s="72">
        <f t="shared" si="10"/>
        <v>29.999999999999996</v>
      </c>
      <c r="L30" s="73">
        <f t="shared" si="10"/>
        <v>83857153.972500011</v>
      </c>
      <c r="M30" s="74">
        <f t="shared" si="5"/>
        <v>251571461.91749996</v>
      </c>
      <c r="N30" s="72">
        <f t="shared" ref="N30:T30" si="11">SUM(N10:N29)</f>
        <v>90</v>
      </c>
      <c r="O30" s="72">
        <f t="shared" si="11"/>
        <v>6.3730209644535289</v>
      </c>
      <c r="P30" s="72">
        <f t="shared" si="11"/>
        <v>100</v>
      </c>
      <c r="Q30" s="71">
        <f t="shared" si="11"/>
        <v>10.000000000000002</v>
      </c>
      <c r="R30" s="75">
        <f t="shared" si="11"/>
        <v>27952384.657499999</v>
      </c>
      <c r="S30" s="184">
        <f>SUM(S10:S29)</f>
        <v>100</v>
      </c>
      <c r="T30" s="185">
        <f t="shared" si="11"/>
        <v>1477957500</v>
      </c>
      <c r="U30" s="186">
        <v>100</v>
      </c>
      <c r="V30" s="187">
        <v>100</v>
      </c>
      <c r="W30" s="188">
        <f>SUM(W10:W29)</f>
        <v>544200000</v>
      </c>
      <c r="X30" s="189">
        <v>100</v>
      </c>
      <c r="Y30" s="190">
        <f t="shared" ref="Y30:AC30" si="12">SUM(Y10:Y29)</f>
        <v>79312500</v>
      </c>
      <c r="Z30" s="191">
        <v>100</v>
      </c>
      <c r="AA30" s="188">
        <f>SUM(AA10:AA29)</f>
        <v>32175000</v>
      </c>
      <c r="AB30" s="189">
        <v>99.999999999999986</v>
      </c>
      <c r="AC30" s="188">
        <f t="shared" si="12"/>
        <v>53370000</v>
      </c>
      <c r="AD30" s="189">
        <f>SUM(AD10:AD29)</f>
        <v>100</v>
      </c>
      <c r="AE30" s="188">
        <f>SUM(AE10:AE29)</f>
        <v>8190000</v>
      </c>
      <c r="AF30" s="77">
        <f>SUM(AF10:AF29)</f>
        <v>100</v>
      </c>
      <c r="AG30" s="76">
        <f>SUM(AG10:AG29)</f>
        <v>2294999.9999999995</v>
      </c>
    </row>
    <row r="31" spans="1:36" x14ac:dyDescent="0.25">
      <c r="A31" s="11"/>
      <c r="B31" s="78"/>
      <c r="C31" s="11"/>
      <c r="D31" s="11"/>
      <c r="E31" s="11"/>
      <c r="F31" s="11"/>
      <c r="G31" s="11"/>
      <c r="H31" s="79"/>
    </row>
    <row r="32" spans="1:36" x14ac:dyDescent="0.25">
      <c r="A32" s="11"/>
      <c r="B32" s="11"/>
      <c r="C32" s="11"/>
      <c r="D32" s="11"/>
      <c r="E32" s="11"/>
      <c r="F32" s="11"/>
      <c r="G32" s="11"/>
      <c r="H32" s="79"/>
      <c r="T32" s="80"/>
      <c r="U32" s="80"/>
      <c r="V32" s="80"/>
    </row>
  </sheetData>
  <mergeCells count="37">
    <mergeCell ref="A2:AG2"/>
    <mergeCell ref="X6:X9"/>
    <mergeCell ref="Z6:Z9"/>
    <mergeCell ref="AB6:AB9"/>
    <mergeCell ref="AD6:AD9"/>
    <mergeCell ref="AF6:AF9"/>
    <mergeCell ref="AD5:AE5"/>
    <mergeCell ref="AE6:AE8"/>
    <mergeCell ref="A4:T4"/>
    <mergeCell ref="A5:A9"/>
    <mergeCell ref="S5:T5"/>
    <mergeCell ref="U5:W5"/>
    <mergeCell ref="X5:Y5"/>
    <mergeCell ref="Z5:AA5"/>
    <mergeCell ref="AB5:AC5"/>
    <mergeCell ref="T6:T9"/>
    <mergeCell ref="A1:AG1"/>
    <mergeCell ref="AF5:AG5"/>
    <mergeCell ref="B6:B8"/>
    <mergeCell ref="E6:H6"/>
    <mergeCell ref="I6:L6"/>
    <mergeCell ref="M6:M9"/>
    <mergeCell ref="AA6:AA8"/>
    <mergeCell ref="AC6:AC8"/>
    <mergeCell ref="AG6:AG8"/>
    <mergeCell ref="D7:E7"/>
    <mergeCell ref="I7:I8"/>
    <mergeCell ref="J7:J8"/>
    <mergeCell ref="L7:L8"/>
    <mergeCell ref="N7:N9"/>
    <mergeCell ref="D8:E8"/>
    <mergeCell ref="N6:R6"/>
    <mergeCell ref="V6:V9"/>
    <mergeCell ref="W6:W8"/>
    <mergeCell ref="Y6:Y8"/>
    <mergeCell ref="S6:S9"/>
    <mergeCell ref="U6:U9"/>
  </mergeCells>
  <pageMargins left="0.9055118110236221" right="0.15748031496062992" top="0.74803149606299213" bottom="0.74803149606299213" header="0.31496062992125984" footer="0.31496062992125984"/>
  <pageSetup paperSize="5"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workbookViewId="0">
      <selection activeCell="B32" sqref="B32:T32"/>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2" customWidth="1"/>
    <col min="8" max="9" width="18.85546875" style="12"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5" width="11.42578125" customWidth="1"/>
    <col min="26" max="27" width="17.85546875" bestFit="1" customWidth="1"/>
    <col min="28" max="28" width="12.140625" bestFit="1" customWidth="1"/>
  </cols>
  <sheetData>
    <row r="1" spans="1:29" x14ac:dyDescent="0.25">
      <c r="A1" s="669" t="s">
        <v>331</v>
      </c>
      <c r="B1" s="669"/>
      <c r="C1" s="669"/>
      <c r="D1" s="669"/>
      <c r="E1" s="669"/>
      <c r="F1" s="669"/>
      <c r="G1" s="669"/>
      <c r="H1" s="669"/>
      <c r="I1" s="669"/>
      <c r="J1" s="669"/>
      <c r="K1" s="669"/>
      <c r="L1" s="669"/>
      <c r="M1" s="669"/>
      <c r="N1" s="669"/>
      <c r="O1" s="669"/>
      <c r="P1" s="669"/>
      <c r="Q1" s="669"/>
      <c r="R1" s="669"/>
      <c r="S1" s="669"/>
      <c r="T1" s="669"/>
    </row>
    <row r="2" spans="1:29" x14ac:dyDescent="0.25">
      <c r="A2" s="700" t="s">
        <v>332</v>
      </c>
      <c r="B2" s="700"/>
      <c r="C2" s="700"/>
      <c r="D2" s="700"/>
      <c r="E2" s="700"/>
      <c r="F2" s="700"/>
      <c r="G2" s="700"/>
      <c r="H2" s="700"/>
      <c r="I2" s="700"/>
      <c r="J2" s="700"/>
      <c r="K2" s="700"/>
      <c r="L2" s="700"/>
      <c r="M2" s="700"/>
      <c r="N2" s="700"/>
      <c r="O2" s="700"/>
      <c r="P2" s="700"/>
      <c r="Q2" s="700"/>
      <c r="R2" s="700"/>
      <c r="S2" s="700"/>
      <c r="T2" s="700"/>
    </row>
    <row r="3" spans="1:29" ht="15.75" thickBot="1" x14ac:dyDescent="0.3">
      <c r="A3" s="15"/>
      <c r="B3" s="15"/>
      <c r="C3" s="15"/>
      <c r="D3" s="15"/>
      <c r="E3" s="15"/>
      <c r="F3" s="15"/>
      <c r="G3" s="15"/>
      <c r="H3" s="15"/>
      <c r="I3" s="15"/>
      <c r="J3" s="12"/>
    </row>
    <row r="4" spans="1:29" ht="33.75" customHeight="1" x14ac:dyDescent="0.25">
      <c r="A4" s="701" t="s">
        <v>93</v>
      </c>
      <c r="B4" s="698" t="s">
        <v>292</v>
      </c>
      <c r="C4" s="713" t="s">
        <v>233</v>
      </c>
      <c r="D4" s="691" t="s">
        <v>74</v>
      </c>
      <c r="E4" s="692"/>
      <c r="F4" s="692"/>
      <c r="G4" s="693"/>
      <c r="H4" s="691" t="s">
        <v>75</v>
      </c>
      <c r="I4" s="692"/>
      <c r="J4" s="692"/>
      <c r="K4" s="692"/>
      <c r="L4" s="692"/>
      <c r="M4" s="693"/>
      <c r="N4" s="694" t="s">
        <v>76</v>
      </c>
      <c r="O4" s="695"/>
      <c r="P4" s="695"/>
      <c r="Q4" s="695"/>
      <c r="R4" s="695"/>
      <c r="S4" s="696"/>
      <c r="T4" s="698" t="s">
        <v>309</v>
      </c>
      <c r="U4" s="688" t="s">
        <v>77</v>
      </c>
    </row>
    <row r="5" spans="1:29" ht="15" customHeight="1" x14ac:dyDescent="0.25">
      <c r="A5" s="702"/>
      <c r="B5" s="699"/>
      <c r="C5" s="714"/>
      <c r="D5" s="554" t="s">
        <v>78</v>
      </c>
      <c r="E5" s="689" t="s">
        <v>294</v>
      </c>
      <c r="F5" s="555" t="s">
        <v>148</v>
      </c>
      <c r="G5" s="710" t="s">
        <v>238</v>
      </c>
      <c r="H5" s="703" t="s">
        <v>308</v>
      </c>
      <c r="I5" s="704"/>
      <c r="J5" s="704"/>
      <c r="K5" s="689" t="s">
        <v>236</v>
      </c>
      <c r="L5" s="555" t="s">
        <v>30</v>
      </c>
      <c r="M5" s="710" t="s">
        <v>298</v>
      </c>
      <c r="N5" s="708" t="s">
        <v>296</v>
      </c>
      <c r="O5" s="697" t="s">
        <v>301</v>
      </c>
      <c r="P5" s="697" t="s">
        <v>303</v>
      </c>
      <c r="Q5" s="697" t="s">
        <v>304</v>
      </c>
      <c r="R5" s="697" t="s">
        <v>239</v>
      </c>
      <c r="S5" s="710" t="s">
        <v>307</v>
      </c>
      <c r="T5" s="699"/>
      <c r="U5" s="688"/>
    </row>
    <row r="6" spans="1:29" x14ac:dyDescent="0.25">
      <c r="A6" s="702"/>
      <c r="B6" s="699"/>
      <c r="C6" s="714"/>
      <c r="D6" s="556" t="s">
        <v>79</v>
      </c>
      <c r="E6" s="690"/>
      <c r="F6" s="557" t="s">
        <v>152</v>
      </c>
      <c r="G6" s="711"/>
      <c r="H6" s="705"/>
      <c r="I6" s="706"/>
      <c r="J6" s="706"/>
      <c r="K6" s="707"/>
      <c r="L6" s="557" t="s">
        <v>237</v>
      </c>
      <c r="M6" s="711"/>
      <c r="N6" s="709"/>
      <c r="O6" s="712"/>
      <c r="P6" s="712"/>
      <c r="Q6" s="712"/>
      <c r="R6" s="690"/>
      <c r="S6" s="711"/>
      <c r="T6" s="699"/>
      <c r="U6" s="688"/>
    </row>
    <row r="7" spans="1:29" x14ac:dyDescent="0.25">
      <c r="A7" s="702"/>
      <c r="B7" s="699"/>
      <c r="C7" s="714"/>
      <c r="D7" s="556" t="s">
        <v>46</v>
      </c>
      <c r="E7" s="557" t="s">
        <v>45</v>
      </c>
      <c r="F7" s="558">
        <v>0.6</v>
      </c>
      <c r="G7" s="711"/>
      <c r="H7" s="562">
        <v>2016</v>
      </c>
      <c r="I7" s="563">
        <v>2017</v>
      </c>
      <c r="J7" s="564" t="s">
        <v>235</v>
      </c>
      <c r="K7" s="707"/>
      <c r="L7" s="558">
        <v>0.3</v>
      </c>
      <c r="M7" s="711"/>
      <c r="N7" s="709"/>
      <c r="O7" s="712"/>
      <c r="P7" s="712"/>
      <c r="Q7" s="712"/>
      <c r="R7" s="690"/>
      <c r="S7" s="711"/>
      <c r="T7" s="699"/>
      <c r="U7" s="688"/>
    </row>
    <row r="8" spans="1:29" ht="15.75" thickBot="1" x14ac:dyDescent="0.3">
      <c r="A8" s="702"/>
      <c r="B8" s="396" t="s">
        <v>80</v>
      </c>
      <c r="C8" s="396" t="s">
        <v>107</v>
      </c>
      <c r="D8" s="559" t="s">
        <v>81</v>
      </c>
      <c r="E8" s="560" t="s">
        <v>82</v>
      </c>
      <c r="F8" s="560" t="s">
        <v>83</v>
      </c>
      <c r="G8" s="561" t="s">
        <v>110</v>
      </c>
      <c r="H8" s="559" t="s">
        <v>84</v>
      </c>
      <c r="I8" s="560" t="s">
        <v>85</v>
      </c>
      <c r="J8" s="560" t="s">
        <v>234</v>
      </c>
      <c r="K8" s="565" t="s">
        <v>87</v>
      </c>
      <c r="L8" s="560" t="s">
        <v>88</v>
      </c>
      <c r="M8" s="561" t="s">
        <v>297</v>
      </c>
      <c r="N8" s="559" t="s">
        <v>299</v>
      </c>
      <c r="O8" s="560" t="s">
        <v>300</v>
      </c>
      <c r="P8" s="560" t="s">
        <v>302</v>
      </c>
      <c r="Q8" s="560" t="s">
        <v>305</v>
      </c>
      <c r="R8" s="566" t="s">
        <v>89</v>
      </c>
      <c r="S8" s="567" t="s">
        <v>306</v>
      </c>
      <c r="T8" s="395" t="s">
        <v>310</v>
      </c>
      <c r="U8" s="688"/>
      <c r="W8" s="81"/>
    </row>
    <row r="9" spans="1:29" s="6" customFormat="1" ht="16.5" customHeight="1" x14ac:dyDescent="0.25">
      <c r="A9" s="82" t="s">
        <v>53</v>
      </c>
      <c r="B9" s="83">
        <v>3.62</v>
      </c>
      <c r="C9" s="84">
        <f>$C$29*B9/100</f>
        <v>35350314.18282</v>
      </c>
      <c r="D9" s="85">
        <f>CENSO!C10</f>
        <v>37309</v>
      </c>
      <c r="E9" s="86">
        <f>D9/$D$29*100</f>
        <v>3.1589687142796663</v>
      </c>
      <c r="F9" s="87">
        <f>E9*0.6</f>
        <v>1.8953812285677998</v>
      </c>
      <c r="G9" s="88">
        <f>Datos!$I$12*FGP!F9/100</f>
        <v>9504000.3123449981</v>
      </c>
      <c r="H9" s="89">
        <f>'Predial y Agua'!D9</f>
        <v>9587479</v>
      </c>
      <c r="I9" s="90">
        <f>'Predial y Agua'!G9</f>
        <v>10764713</v>
      </c>
      <c r="J9" s="86">
        <f>I9/H9</f>
        <v>1.122788691375491</v>
      </c>
      <c r="K9" s="86">
        <f>J9/$J$29*100</f>
        <v>4.7947430769572916</v>
      </c>
      <c r="L9" s="86">
        <f>K9*0.3</f>
        <v>1.4384229230871874</v>
      </c>
      <c r="M9" s="91">
        <f>Datos!$I$12*FGP!L9/100</f>
        <v>7212676.6395353787</v>
      </c>
      <c r="N9" s="92">
        <f>G9+M9</f>
        <v>16716676.951880377</v>
      </c>
      <c r="O9" s="86">
        <f>L9+F9</f>
        <v>3.333804151654987</v>
      </c>
      <c r="P9" s="86">
        <f>MINVERSE(O9)</f>
        <v>0.29995763233529299</v>
      </c>
      <c r="Q9" s="86">
        <f>P9/P$29*100</f>
        <v>4.2376676340305943</v>
      </c>
      <c r="R9" s="86">
        <f>Q9*0.1</f>
        <v>0.42376676340305947</v>
      </c>
      <c r="S9" s="93">
        <f>Datos!$I$12*FGP!R9/100</f>
        <v>2124891.4946716954</v>
      </c>
      <c r="T9" s="94">
        <f>C9+G9+M9+S9</f>
        <v>54191882.629372068</v>
      </c>
      <c r="U9" s="95">
        <f>R9+L9+F9</f>
        <v>3.7575709150580465</v>
      </c>
      <c r="V9" s="96"/>
      <c r="W9" s="97">
        <v>0.97425313870244945</v>
      </c>
      <c r="X9" s="97">
        <f t="shared" ref="X9:X28" si="0">J9-W9</f>
        <v>0.14853555267304153</v>
      </c>
      <c r="Z9" s="98"/>
      <c r="AA9" s="98"/>
      <c r="AB9" s="96"/>
      <c r="AC9" s="96"/>
    </row>
    <row r="10" spans="1:29" s="6" customFormat="1" ht="16.5" customHeight="1" x14ac:dyDescent="0.25">
      <c r="A10" s="82" t="s">
        <v>54</v>
      </c>
      <c r="B10" s="99">
        <v>2.4700000000000002</v>
      </c>
      <c r="C10" s="84">
        <f t="shared" ref="C10:C28" si="1">$C$29*B10/100</f>
        <v>24120241.997670002</v>
      </c>
      <c r="D10" s="85">
        <f>CENSO!C11</f>
        <v>15953</v>
      </c>
      <c r="E10" s="86">
        <f t="shared" ref="E10:E28" si="2">D10/$D$29*100</f>
        <v>1.3507472164599297</v>
      </c>
      <c r="F10" s="87">
        <f t="shared" ref="F10:F28" si="3">E10*0.6</f>
        <v>0.81044832987595783</v>
      </c>
      <c r="G10" s="88">
        <f>Datos!$I$12*FGP!F10/100</f>
        <v>4063826.8777731853</v>
      </c>
      <c r="H10" s="89">
        <f>'Predial y Agua'!D10</f>
        <v>4153474</v>
      </c>
      <c r="I10" s="90">
        <f>'Predial y Agua'!G10</f>
        <v>5967368</v>
      </c>
      <c r="J10" s="86">
        <f t="shared" ref="J10:J28" si="4">I10/H10</f>
        <v>1.4367173118213814</v>
      </c>
      <c r="K10" s="86">
        <f t="shared" ref="K10:K28" si="5">J10/$J$29*100</f>
        <v>6.1353400130537059</v>
      </c>
      <c r="L10" s="100">
        <f t="shared" ref="L10:L28" si="6">K10*0.3</f>
        <v>1.8406020039161117</v>
      </c>
      <c r="M10" s="91">
        <f>Datos!$I$12*FGP!L10/100</f>
        <v>9229321.1288896184</v>
      </c>
      <c r="N10" s="101">
        <f t="shared" ref="N10:N29" si="7">G10+M10</f>
        <v>13293148.006662805</v>
      </c>
      <c r="O10" s="100">
        <f t="shared" ref="O10:O28" si="8">L10+F10</f>
        <v>2.6510503337920697</v>
      </c>
      <c r="P10" s="100">
        <f t="shared" ref="P10:P28" si="9">MINVERSE(O10)</f>
        <v>0.37720898289003713</v>
      </c>
      <c r="Q10" s="100">
        <f t="shared" ref="Q10:Q28" si="10">P10/P$29*100</f>
        <v>5.3290402568317408</v>
      </c>
      <c r="R10" s="100">
        <f t="shared" ref="R10:R28" si="11">Q10*0.1</f>
        <v>0.53290402568317408</v>
      </c>
      <c r="S10" s="93">
        <f>Datos!$I$12*FGP!R10/100</f>
        <v>2672137.9056654633</v>
      </c>
      <c r="T10" s="94">
        <f t="shared" ref="T10:T28" si="12">C10+G10+M10+S10</f>
        <v>40085527.909998268</v>
      </c>
      <c r="U10" s="95">
        <f t="shared" ref="U10:U29" si="13">R10+L10+F10</f>
        <v>3.1839543594752433</v>
      </c>
      <c r="V10" s="96"/>
      <c r="W10" s="97">
        <v>1.0958106186784708</v>
      </c>
      <c r="X10" s="97">
        <f t="shared" si="0"/>
        <v>0.34090669314291056</v>
      </c>
      <c r="Z10" s="98"/>
      <c r="AA10" s="98"/>
      <c r="AB10" s="96"/>
      <c r="AC10" s="96"/>
    </row>
    <row r="11" spans="1:29" s="6" customFormat="1" ht="16.5" customHeight="1" x14ac:dyDescent="0.25">
      <c r="A11" s="82" t="s">
        <v>55</v>
      </c>
      <c r="B11" s="99">
        <v>2.33</v>
      </c>
      <c r="C11" s="84">
        <f t="shared" si="1"/>
        <v>22753102.77513</v>
      </c>
      <c r="D11" s="85">
        <f>CENSO!C12</f>
        <v>11851</v>
      </c>
      <c r="E11" s="86">
        <f t="shared" si="2"/>
        <v>1.0034291520257399</v>
      </c>
      <c r="F11" s="87">
        <f t="shared" si="3"/>
        <v>0.60205749121544394</v>
      </c>
      <c r="G11" s="88">
        <f>Datos!$I$12*FGP!F11/100</f>
        <v>3018893.7709828885</v>
      </c>
      <c r="H11" s="89">
        <f>'Predial y Agua'!D11</f>
        <v>3784530</v>
      </c>
      <c r="I11" s="90">
        <f>'Predial y Agua'!G11</f>
        <v>1073953</v>
      </c>
      <c r="J11" s="86">
        <f t="shared" si="4"/>
        <v>0.28377447133461753</v>
      </c>
      <c r="K11" s="86">
        <f t="shared" si="5"/>
        <v>1.2118270270268003</v>
      </c>
      <c r="L11" s="100">
        <f t="shared" si="6"/>
        <v>0.36354810810804011</v>
      </c>
      <c r="M11" s="91">
        <f>Datos!$I$12*FGP!L11/100</f>
        <v>1822937.4022143597</v>
      </c>
      <c r="N11" s="101">
        <f t="shared" si="7"/>
        <v>4841831.173197248</v>
      </c>
      <c r="O11" s="100">
        <f t="shared" si="8"/>
        <v>0.965605599323484</v>
      </c>
      <c r="P11" s="100">
        <f t="shared" si="9"/>
        <v>1.0356195124599663</v>
      </c>
      <c r="Q11" s="100">
        <f t="shared" si="10"/>
        <v>14.630770535675348</v>
      </c>
      <c r="R11" s="100">
        <f t="shared" si="11"/>
        <v>1.4630770535675348</v>
      </c>
      <c r="S11" s="93">
        <f>Datos!$I$12*FGP!R11/100</f>
        <v>7336299.7187630162</v>
      </c>
      <c r="T11" s="94">
        <f t="shared" si="12"/>
        <v>34931233.667090267</v>
      </c>
      <c r="U11" s="95">
        <f t="shared" si="13"/>
        <v>2.4286826528910188</v>
      </c>
      <c r="V11" s="96"/>
      <c r="W11" s="97">
        <v>1.0258439054458339</v>
      </c>
      <c r="X11" s="97">
        <f t="shared" si="0"/>
        <v>-0.7420694341112164</v>
      </c>
      <c r="Z11" s="98"/>
      <c r="AA11" s="98"/>
      <c r="AB11" s="96"/>
      <c r="AC11" s="96"/>
    </row>
    <row r="12" spans="1:29" s="6" customFormat="1" ht="16.5" customHeight="1" x14ac:dyDescent="0.25">
      <c r="A12" s="82" t="s">
        <v>56</v>
      </c>
      <c r="B12" s="99">
        <v>2.81</v>
      </c>
      <c r="C12" s="84">
        <f t="shared" si="1"/>
        <v>27440437.252410002</v>
      </c>
      <c r="D12" s="85">
        <f>CENSO!C13</f>
        <v>150250</v>
      </c>
      <c r="E12" s="86">
        <f t="shared" si="2"/>
        <v>12.721730663392744</v>
      </c>
      <c r="F12" s="87">
        <f t="shared" si="3"/>
        <v>7.6330383980356462</v>
      </c>
      <c r="G12" s="88">
        <f>Datos!$I$12*FGP!F12/100</f>
        <v>38274305.045158975</v>
      </c>
      <c r="H12" s="89">
        <f>'Predial y Agua'!D12</f>
        <v>214394286</v>
      </c>
      <c r="I12" s="90">
        <f>'Predial y Agua'!G12</f>
        <v>268805705</v>
      </c>
      <c r="J12" s="86">
        <f t="shared" si="4"/>
        <v>1.2537913673688112</v>
      </c>
      <c r="K12" s="86">
        <f t="shared" si="5"/>
        <v>5.3541753001411196</v>
      </c>
      <c r="L12" s="100">
        <f t="shared" si="6"/>
        <v>1.6062525900423359</v>
      </c>
      <c r="M12" s="91">
        <f>Datos!$I$12*FGP!L12/100</f>
        <v>8054224.0723796673</v>
      </c>
      <c r="N12" s="101">
        <f t="shared" si="7"/>
        <v>46328529.117538646</v>
      </c>
      <c r="O12" s="100">
        <f t="shared" si="8"/>
        <v>9.2392909880779825</v>
      </c>
      <c r="P12" s="100">
        <f t="shared" si="9"/>
        <v>0.1082334132879201</v>
      </c>
      <c r="Q12" s="100">
        <f t="shared" si="10"/>
        <v>1.5290733855979646</v>
      </c>
      <c r="R12" s="100">
        <f t="shared" si="11"/>
        <v>0.15290733855979646</v>
      </c>
      <c r="S12" s="93">
        <f>Datos!$I$12*FGP!R12/100</f>
        <v>766722.47858561319</v>
      </c>
      <c r="T12" s="94">
        <f t="shared" si="12"/>
        <v>74535688.848534256</v>
      </c>
      <c r="U12" s="95">
        <f t="shared" si="13"/>
        <v>9.3921983266377786</v>
      </c>
      <c r="V12" s="96"/>
      <c r="W12" s="97">
        <v>1.2368625473905901</v>
      </c>
      <c r="X12" s="97">
        <f t="shared" si="0"/>
        <v>1.6928819978221155E-2</v>
      </c>
      <c r="Z12" s="98"/>
      <c r="AA12" s="98"/>
      <c r="AB12" s="96"/>
      <c r="AC12" s="96"/>
    </row>
    <row r="13" spans="1:29" s="6" customFormat="1" ht="16.5" customHeight="1" x14ac:dyDescent="0.25">
      <c r="A13" s="82" t="s">
        <v>57</v>
      </c>
      <c r="B13" s="99">
        <v>4.6399999999999997</v>
      </c>
      <c r="C13" s="84">
        <f t="shared" si="1"/>
        <v>45310899.947039992</v>
      </c>
      <c r="D13" s="85">
        <f>CENSO!C14</f>
        <v>75520</v>
      </c>
      <c r="E13" s="86">
        <f t="shared" si="2"/>
        <v>6.3943101477498834</v>
      </c>
      <c r="F13" s="87">
        <f t="shared" si="3"/>
        <v>3.8365860886499297</v>
      </c>
      <c r="G13" s="88">
        <f>Datos!$I$12*FGP!F13/100</f>
        <v>19237773.823696539</v>
      </c>
      <c r="H13" s="89">
        <f>'Predial y Agua'!D13</f>
        <v>23134391</v>
      </c>
      <c r="I13" s="90">
        <f>'Predial y Agua'!G13</f>
        <v>25483741</v>
      </c>
      <c r="J13" s="86">
        <f t="shared" si="4"/>
        <v>1.1015522734097474</v>
      </c>
      <c r="K13" s="86">
        <f t="shared" si="5"/>
        <v>4.7040553377568894</v>
      </c>
      <c r="L13" s="100">
        <f t="shared" si="6"/>
        <v>1.4112166013270668</v>
      </c>
      <c r="M13" s="91">
        <f>Datos!$I$12*FGP!L13/100</f>
        <v>7076256.1207454326</v>
      </c>
      <c r="N13" s="101">
        <f t="shared" si="7"/>
        <v>26314029.94444197</v>
      </c>
      <c r="O13" s="100">
        <f t="shared" si="8"/>
        <v>5.2478026899769965</v>
      </c>
      <c r="P13" s="100">
        <f t="shared" si="9"/>
        <v>0.19055594485477567</v>
      </c>
      <c r="Q13" s="100">
        <f t="shared" si="10"/>
        <v>2.6920893917463751</v>
      </c>
      <c r="R13" s="100">
        <f t="shared" si="11"/>
        <v>0.26920893917463751</v>
      </c>
      <c r="S13" s="93">
        <f>Datos!$I$12*FGP!R13/100</f>
        <v>1349892.9943160499</v>
      </c>
      <c r="T13" s="94">
        <f t="shared" si="12"/>
        <v>72974822.885798022</v>
      </c>
      <c r="U13" s="95">
        <f t="shared" si="13"/>
        <v>5.517011629151634</v>
      </c>
      <c r="V13" s="96"/>
      <c r="W13" s="97">
        <v>0.59920521048482089</v>
      </c>
      <c r="X13" s="97">
        <f t="shared" si="0"/>
        <v>0.50234706292492648</v>
      </c>
      <c r="Z13" s="98"/>
      <c r="AA13" s="98"/>
      <c r="AB13" s="96"/>
      <c r="AC13" s="96"/>
    </row>
    <row r="14" spans="1:29" s="6" customFormat="1" ht="16.5" customHeight="1" x14ac:dyDescent="0.25">
      <c r="A14" s="82" t="s">
        <v>58</v>
      </c>
      <c r="B14" s="99">
        <v>1.5</v>
      </c>
      <c r="C14" s="84">
        <f t="shared" si="1"/>
        <v>14647920.241500001</v>
      </c>
      <c r="D14" s="85">
        <f>CENSO!C15</f>
        <v>42514</v>
      </c>
      <c r="E14" s="86">
        <f t="shared" si="2"/>
        <v>3.5996782524025233</v>
      </c>
      <c r="F14" s="87">
        <f t="shared" si="3"/>
        <v>2.1598069514415137</v>
      </c>
      <c r="G14" s="88">
        <f>Datos!$I$12*FGP!F14/100</f>
        <v>10829908.849849505</v>
      </c>
      <c r="H14" s="89">
        <f>'Predial y Agua'!D14</f>
        <v>287635</v>
      </c>
      <c r="I14" s="90">
        <f>'Predial y Agua'!G14</f>
        <v>146487</v>
      </c>
      <c r="J14" s="86">
        <f t="shared" si="4"/>
        <v>0.50928085942253198</v>
      </c>
      <c r="K14" s="86">
        <f t="shared" si="5"/>
        <v>2.17482674496088</v>
      </c>
      <c r="L14" s="100">
        <f t="shared" si="6"/>
        <v>0.65244802348826403</v>
      </c>
      <c r="M14" s="91">
        <f>Datos!$I$12*FGP!L14/100</f>
        <v>3271566.7568929535</v>
      </c>
      <c r="N14" s="101">
        <f t="shared" si="7"/>
        <v>14101475.606742458</v>
      </c>
      <c r="O14" s="100">
        <f t="shared" si="8"/>
        <v>2.8122549749297776</v>
      </c>
      <c r="P14" s="100">
        <f t="shared" si="9"/>
        <v>0.35558653426329884</v>
      </c>
      <c r="Q14" s="100">
        <f t="shared" si="10"/>
        <v>5.0235679472903874</v>
      </c>
      <c r="R14" s="100">
        <f t="shared" si="11"/>
        <v>0.50235679472903871</v>
      </c>
      <c r="S14" s="93">
        <f>Datos!$I$12*FGP!R14/100</f>
        <v>2518965.0831464012</v>
      </c>
      <c r="T14" s="94">
        <f t="shared" si="12"/>
        <v>31268360.931388859</v>
      </c>
      <c r="U14" s="95">
        <f t="shared" si="13"/>
        <v>3.3146117696588164</v>
      </c>
      <c r="V14" s="96"/>
      <c r="W14" s="97">
        <v>5.0856642738427809</v>
      </c>
      <c r="X14" s="97">
        <f t="shared" si="0"/>
        <v>-4.5763834144202491</v>
      </c>
      <c r="Z14" s="98"/>
      <c r="AA14" s="98"/>
      <c r="AB14" s="96"/>
      <c r="AC14" s="96"/>
    </row>
    <row r="15" spans="1:29" s="6" customFormat="1" ht="16.5" customHeight="1" x14ac:dyDescent="0.25">
      <c r="A15" s="82" t="s">
        <v>59</v>
      </c>
      <c r="B15" s="99">
        <v>1.53</v>
      </c>
      <c r="C15" s="84">
        <f t="shared" si="1"/>
        <v>14940878.646330001</v>
      </c>
      <c r="D15" s="85">
        <f>CENSO!C16</f>
        <v>12614</v>
      </c>
      <c r="E15" s="86">
        <f t="shared" si="2"/>
        <v>1.0680326827822699</v>
      </c>
      <c r="F15" s="87">
        <f t="shared" si="3"/>
        <v>0.64081960966936191</v>
      </c>
      <c r="G15" s="88">
        <f>Datos!$I$12*FGP!F15/100</f>
        <v>3213258.4614950763</v>
      </c>
      <c r="H15" s="89">
        <f>'Predial y Agua'!D15</f>
        <v>62501</v>
      </c>
      <c r="I15" s="90">
        <f>'Predial y Agua'!G15</f>
        <v>37508</v>
      </c>
      <c r="J15" s="86">
        <f t="shared" si="4"/>
        <v>0.60011839810563028</v>
      </c>
      <c r="K15" s="86">
        <f t="shared" si="5"/>
        <v>2.5627382576739772</v>
      </c>
      <c r="L15" s="100">
        <f t="shared" si="6"/>
        <v>0.76882147730219319</v>
      </c>
      <c r="M15" s="91">
        <f>Datos!$I$12*FGP!L15/100</f>
        <v>3855097.5657487432</v>
      </c>
      <c r="N15" s="101">
        <f t="shared" si="7"/>
        <v>7068356.0272438191</v>
      </c>
      <c r="O15" s="100">
        <f t="shared" si="8"/>
        <v>1.409641086971555</v>
      </c>
      <c r="P15" s="100">
        <f t="shared" si="9"/>
        <v>0.70940043479321402</v>
      </c>
      <c r="Q15" s="100">
        <f t="shared" si="10"/>
        <v>10.022092915875856</v>
      </c>
      <c r="R15" s="100">
        <f t="shared" si="11"/>
        <v>1.0022092915875855</v>
      </c>
      <c r="S15" s="93">
        <f>Datos!$I$12*FGP!R15/100</f>
        <v>5025372.8784054769</v>
      </c>
      <c r="T15" s="94">
        <f t="shared" si="12"/>
        <v>27034607.5519793</v>
      </c>
      <c r="U15" s="95">
        <f t="shared" si="13"/>
        <v>2.4118503785591408</v>
      </c>
      <c r="V15" s="96"/>
      <c r="W15" s="97">
        <v>0.76323116375625843</v>
      </c>
      <c r="X15" s="97">
        <f t="shared" si="0"/>
        <v>-0.16311276565062816</v>
      </c>
      <c r="Z15" s="98"/>
      <c r="AA15" s="98"/>
      <c r="AB15" s="96"/>
      <c r="AC15" s="96"/>
    </row>
    <row r="16" spans="1:29" s="6" customFormat="1" ht="16.5" customHeight="1" x14ac:dyDescent="0.25">
      <c r="A16" s="82" t="s">
        <v>60</v>
      </c>
      <c r="B16" s="99">
        <v>3.16</v>
      </c>
      <c r="C16" s="84">
        <f t="shared" si="1"/>
        <v>30858285.308760002</v>
      </c>
      <c r="D16" s="85">
        <f>CENSO!C17</f>
        <v>29416</v>
      </c>
      <c r="E16" s="86">
        <f t="shared" si="2"/>
        <v>2.4906650861521529</v>
      </c>
      <c r="F16" s="87">
        <f t="shared" si="3"/>
        <v>1.4943990516912917</v>
      </c>
      <c r="G16" s="88">
        <f>Datos!$I$12*FGP!F16/100</f>
        <v>7493357.4523021393</v>
      </c>
      <c r="H16" s="89">
        <f>'Predial y Agua'!D16</f>
        <v>14390923</v>
      </c>
      <c r="I16" s="90">
        <f>'Predial y Agua'!G16</f>
        <v>12917753</v>
      </c>
      <c r="J16" s="86">
        <f t="shared" si="4"/>
        <v>0.89763200039358138</v>
      </c>
      <c r="K16" s="86">
        <f t="shared" si="5"/>
        <v>3.8332367012619861</v>
      </c>
      <c r="L16" s="100">
        <f t="shared" si="6"/>
        <v>1.1499710103785958</v>
      </c>
      <c r="M16" s="91">
        <f>Datos!$I$12*FGP!L16/100</f>
        <v>5766293.7023410089</v>
      </c>
      <c r="N16" s="101">
        <f t="shared" si="7"/>
        <v>13259651.154643148</v>
      </c>
      <c r="O16" s="100">
        <f t="shared" si="8"/>
        <v>2.6443700620698873</v>
      </c>
      <c r="P16" s="100">
        <f t="shared" si="9"/>
        <v>0.37816189736214434</v>
      </c>
      <c r="Q16" s="100">
        <f t="shared" si="10"/>
        <v>5.3425026074477584</v>
      </c>
      <c r="R16" s="100">
        <f t="shared" si="11"/>
        <v>0.53425026074477588</v>
      </c>
      <c r="S16" s="93">
        <f>Datos!$I$12*FGP!R16/100</f>
        <v>2678888.3251869343</v>
      </c>
      <c r="T16" s="94">
        <f t="shared" si="12"/>
        <v>46796824.788590088</v>
      </c>
      <c r="U16" s="95">
        <f t="shared" si="13"/>
        <v>3.1786203228146634</v>
      </c>
      <c r="V16" s="96"/>
      <c r="W16" s="97">
        <v>1.5455894402307131</v>
      </c>
      <c r="X16" s="97">
        <f t="shared" si="0"/>
        <v>-0.64795743983713172</v>
      </c>
      <c r="Z16" s="98"/>
      <c r="AA16" s="98"/>
      <c r="AB16" s="96"/>
      <c r="AC16" s="96"/>
    </row>
    <row r="17" spans="1:29" s="6" customFormat="1" ht="16.5" customHeight="1" x14ac:dyDescent="0.25">
      <c r="A17" s="82" t="s">
        <v>61</v>
      </c>
      <c r="B17" s="99">
        <v>2.81</v>
      </c>
      <c r="C17" s="84">
        <f t="shared" si="1"/>
        <v>27440437.252410002</v>
      </c>
      <c r="D17" s="85">
        <f>CENSO!C18</f>
        <v>18580</v>
      </c>
      <c r="E17" s="86">
        <f t="shared" si="2"/>
        <v>1.5731764108208799</v>
      </c>
      <c r="F17" s="87">
        <f t="shared" si="3"/>
        <v>0.94390584649252784</v>
      </c>
      <c r="G17" s="88">
        <f>Datos!$I$12*FGP!F17/100</f>
        <v>4733022.2145694084</v>
      </c>
      <c r="H17" s="89">
        <f>'Predial y Agua'!D17</f>
        <v>4206319</v>
      </c>
      <c r="I17" s="90">
        <f>'Predial y Agua'!G17</f>
        <v>2600496</v>
      </c>
      <c r="J17" s="86">
        <f t="shared" si="4"/>
        <v>0.61823556415954184</v>
      </c>
      <c r="K17" s="86">
        <f t="shared" si="5"/>
        <v>2.64010558171129</v>
      </c>
      <c r="L17" s="100">
        <f t="shared" si="6"/>
        <v>0.79203167451338696</v>
      </c>
      <c r="M17" s="91">
        <f>Datos!$I$12*FGP!L17/100</f>
        <v>3971480.3378370046</v>
      </c>
      <c r="N17" s="101">
        <f t="shared" si="7"/>
        <v>8704502.5524064135</v>
      </c>
      <c r="O17" s="100">
        <f t="shared" si="8"/>
        <v>1.7359375210059147</v>
      </c>
      <c r="P17" s="100">
        <f t="shared" si="9"/>
        <v>0.57605759878992369</v>
      </c>
      <c r="Q17" s="100">
        <f t="shared" si="10"/>
        <v>8.1382848061713329</v>
      </c>
      <c r="R17" s="100">
        <f t="shared" si="11"/>
        <v>0.81382848061713331</v>
      </c>
      <c r="S17" s="93">
        <f>Datos!$I$12*FGP!R17/100</f>
        <v>4080775.9501897031</v>
      </c>
      <c r="T17" s="94">
        <f t="shared" si="12"/>
        <v>40225715.75500612</v>
      </c>
      <c r="U17" s="95">
        <f t="shared" si="13"/>
        <v>2.5497660016230483</v>
      </c>
      <c r="V17" s="96"/>
      <c r="W17" s="97">
        <v>1.3217513416832607</v>
      </c>
      <c r="X17" s="97">
        <f t="shared" si="0"/>
        <v>-0.70351577752371885</v>
      </c>
      <c r="Z17" s="98"/>
      <c r="AA17" s="98"/>
      <c r="AB17" s="96"/>
      <c r="AC17" s="96"/>
    </row>
    <row r="18" spans="1:29" s="6" customFormat="1" ht="16.5" customHeight="1" x14ac:dyDescent="0.25">
      <c r="A18" s="82" t="s">
        <v>62</v>
      </c>
      <c r="B18" s="99">
        <v>1.6</v>
      </c>
      <c r="C18" s="84">
        <f t="shared" si="1"/>
        <v>15624448.257600002</v>
      </c>
      <c r="D18" s="85">
        <f>CENSO!C19</f>
        <v>14315</v>
      </c>
      <c r="E18" s="86">
        <f t="shared" si="2"/>
        <v>1.212057067863342</v>
      </c>
      <c r="F18" s="87">
        <f t="shared" si="3"/>
        <v>0.72723424071800513</v>
      </c>
      <c r="G18" s="88">
        <f>Datos!$I$12*FGP!F18/100</f>
        <v>3646566.8999763769</v>
      </c>
      <c r="H18" s="89">
        <f>'Predial y Agua'!D18</f>
        <v>619298</v>
      </c>
      <c r="I18" s="90">
        <f>'Predial y Agua'!G18</f>
        <v>2200274</v>
      </c>
      <c r="J18" s="86">
        <f t="shared" si="4"/>
        <v>3.5528517773349826</v>
      </c>
      <c r="K18" s="86">
        <f t="shared" si="5"/>
        <v>15.172054718473602</v>
      </c>
      <c r="L18" s="100">
        <f t="shared" si="6"/>
        <v>4.55161641554208</v>
      </c>
      <c r="M18" s="91">
        <f>Datos!$I$12*FGP!L18/100</f>
        <v>22823146.70156033</v>
      </c>
      <c r="N18" s="101">
        <f t="shared" si="7"/>
        <v>26469713.601536706</v>
      </c>
      <c r="O18" s="100">
        <f t="shared" si="8"/>
        <v>5.2788506562600848</v>
      </c>
      <c r="P18" s="100">
        <f t="shared" si="9"/>
        <v>0.18943517540397165</v>
      </c>
      <c r="Q18" s="100">
        <f t="shared" si="10"/>
        <v>2.676255660862763</v>
      </c>
      <c r="R18" s="100">
        <f t="shared" si="11"/>
        <v>0.2676255660862763</v>
      </c>
      <c r="S18" s="93">
        <f>Datos!$I$12*FGP!R18/100</f>
        <v>1341953.4948108688</v>
      </c>
      <c r="T18" s="94">
        <f t="shared" si="12"/>
        <v>43436115.35394758</v>
      </c>
      <c r="U18" s="95">
        <f t="shared" si="13"/>
        <v>5.5464762223463611</v>
      </c>
      <c r="V18" s="96"/>
      <c r="W18" s="97">
        <v>1.0641937928415424</v>
      </c>
      <c r="X18" s="97">
        <f t="shared" si="0"/>
        <v>2.4886579844934404</v>
      </c>
      <c r="Z18" s="98"/>
      <c r="AA18" s="98"/>
      <c r="AB18" s="96"/>
      <c r="AC18" s="96"/>
    </row>
    <row r="19" spans="1:29" s="6" customFormat="1" ht="16.5" customHeight="1" x14ac:dyDescent="0.25">
      <c r="A19" s="82" t="s">
        <v>63</v>
      </c>
      <c r="B19" s="99">
        <v>2.84</v>
      </c>
      <c r="C19" s="84">
        <f t="shared" si="1"/>
        <v>27733395.65724</v>
      </c>
      <c r="D19" s="85">
        <f>CENSO!C20</f>
        <v>33901</v>
      </c>
      <c r="E19" s="86">
        <f t="shared" si="2"/>
        <v>2.8704119215951907</v>
      </c>
      <c r="F19" s="87">
        <f t="shared" si="3"/>
        <v>1.7222471529571144</v>
      </c>
      <c r="G19" s="88">
        <f>Datos!$I$12*FGP!F19/100</f>
        <v>8635855.0105553027</v>
      </c>
      <c r="H19" s="89">
        <f>'Predial y Agua'!D19</f>
        <v>1819462</v>
      </c>
      <c r="I19" s="90">
        <f>'Predial y Agua'!G19</f>
        <v>1759253</v>
      </c>
      <c r="J19" s="86">
        <f t="shared" si="4"/>
        <v>0.96690834983088403</v>
      </c>
      <c r="K19" s="86">
        <f t="shared" si="5"/>
        <v>4.1290735754777925</v>
      </c>
      <c r="L19" s="100">
        <f t="shared" si="6"/>
        <v>1.2387220726433377</v>
      </c>
      <c r="M19" s="91">
        <f>Datos!$I$12*FGP!L19/100</f>
        <v>6211317.6958108712</v>
      </c>
      <c r="N19" s="101">
        <f t="shared" si="7"/>
        <v>14847172.706366174</v>
      </c>
      <c r="O19" s="100">
        <f t="shared" si="8"/>
        <v>2.9609692256004521</v>
      </c>
      <c r="P19" s="100">
        <f t="shared" si="9"/>
        <v>0.33772725206126075</v>
      </c>
      <c r="Q19" s="100">
        <f t="shared" si="10"/>
        <v>4.7712599744430806</v>
      </c>
      <c r="R19" s="100">
        <f t="shared" si="11"/>
        <v>0.47712599744430806</v>
      </c>
      <c r="S19" s="93">
        <f>Datos!$I$12*FGP!R19/100</f>
        <v>2392450.426537721</v>
      </c>
      <c r="T19" s="94">
        <f t="shared" si="12"/>
        <v>44973018.790143892</v>
      </c>
      <c r="U19" s="95">
        <f t="shared" si="13"/>
        <v>3.4380952230447601</v>
      </c>
      <c r="V19" s="96"/>
      <c r="W19" s="97">
        <v>0.85819469233584766</v>
      </c>
      <c r="X19" s="97">
        <f t="shared" si="0"/>
        <v>0.10871365749503636</v>
      </c>
      <c r="Z19" s="98"/>
      <c r="AA19" s="98"/>
      <c r="AB19" s="96"/>
      <c r="AC19" s="96"/>
    </row>
    <row r="20" spans="1:29" s="6" customFormat="1" ht="16.5" customHeight="1" x14ac:dyDescent="0.25">
      <c r="A20" s="82" t="s">
        <v>64</v>
      </c>
      <c r="B20" s="99">
        <v>3.33</v>
      </c>
      <c r="C20" s="84">
        <f t="shared" si="1"/>
        <v>32518382.936129998</v>
      </c>
      <c r="D20" s="85">
        <f>CENSO!C21</f>
        <v>24743</v>
      </c>
      <c r="E20" s="86">
        <f t="shared" si="2"/>
        <v>2.0950002116760511</v>
      </c>
      <c r="F20" s="87">
        <f t="shared" si="3"/>
        <v>1.2570001270056306</v>
      </c>
      <c r="G20" s="88">
        <f>Datos!$I$12*FGP!F20/100</f>
        <v>6302969.2494666781</v>
      </c>
      <c r="H20" s="89">
        <f>'Predial y Agua'!D20</f>
        <v>1893758</v>
      </c>
      <c r="I20" s="90">
        <f>'Predial y Agua'!G20</f>
        <v>2805300</v>
      </c>
      <c r="J20" s="86">
        <f t="shared" si="4"/>
        <v>1.4813402768463553</v>
      </c>
      <c r="K20" s="86">
        <f t="shared" si="5"/>
        <v>6.3258973764028958</v>
      </c>
      <c r="L20" s="100">
        <f t="shared" si="6"/>
        <v>1.8977692129208688</v>
      </c>
      <c r="M20" s="91">
        <f>Datos!$I$12*FGP!L20/100</f>
        <v>9515974.3699622042</v>
      </c>
      <c r="N20" s="101">
        <f t="shared" si="7"/>
        <v>15818943.619428882</v>
      </c>
      <c r="O20" s="100">
        <f t="shared" si="8"/>
        <v>3.1547693399264993</v>
      </c>
      <c r="P20" s="100">
        <f t="shared" si="9"/>
        <v>0.31698038501391618</v>
      </c>
      <c r="Q20" s="100">
        <f t="shared" si="10"/>
        <v>4.4781574909036959</v>
      </c>
      <c r="R20" s="100">
        <f t="shared" si="11"/>
        <v>0.44781574909036959</v>
      </c>
      <c r="S20" s="93">
        <f>Datos!$I$12*FGP!R20/100</f>
        <v>2245480.1994867595</v>
      </c>
      <c r="T20" s="94">
        <f t="shared" si="12"/>
        <v>50582806.755045637</v>
      </c>
      <c r="U20" s="95">
        <f t="shared" si="13"/>
        <v>3.6025850890168689</v>
      </c>
      <c r="V20" s="96"/>
      <c r="W20" s="97">
        <v>0.30847701853884074</v>
      </c>
      <c r="X20" s="97">
        <f t="shared" si="0"/>
        <v>1.1728632583075145</v>
      </c>
      <c r="Z20" s="98"/>
      <c r="AA20" s="98"/>
      <c r="AB20" s="96"/>
      <c r="AC20" s="96"/>
    </row>
    <row r="21" spans="1:29" s="6" customFormat="1" ht="16.5" customHeight="1" x14ac:dyDescent="0.25">
      <c r="A21" s="82" t="s">
        <v>65</v>
      </c>
      <c r="B21" s="99">
        <v>4.6900000000000004</v>
      </c>
      <c r="C21" s="84">
        <f t="shared" si="1"/>
        <v>45799163.955090009</v>
      </c>
      <c r="D21" s="85">
        <f>CENSO!C22</f>
        <v>43979</v>
      </c>
      <c r="E21" s="86">
        <f t="shared" si="2"/>
        <v>3.7237204182718768</v>
      </c>
      <c r="F21" s="87">
        <f t="shared" si="3"/>
        <v>2.2342322509631258</v>
      </c>
      <c r="G21" s="88">
        <f>Datos!$I$12*FGP!F21/100</f>
        <v>11203099.245131755</v>
      </c>
      <c r="H21" s="89">
        <f>'Predial y Agua'!D21</f>
        <v>4000518</v>
      </c>
      <c r="I21" s="90">
        <f>'Predial y Agua'!G21</f>
        <v>6318753</v>
      </c>
      <c r="J21" s="86">
        <f t="shared" si="4"/>
        <v>1.5794837068599616</v>
      </c>
      <c r="K21" s="86">
        <f t="shared" si="5"/>
        <v>6.745007877979198</v>
      </c>
      <c r="L21" s="100">
        <f t="shared" si="6"/>
        <v>2.0235023633937592</v>
      </c>
      <c r="M21" s="91">
        <f>Datos!$I$12*FGP!L21/100</f>
        <v>10146437.457469631</v>
      </c>
      <c r="N21" s="101">
        <f t="shared" si="7"/>
        <v>21349536.702601388</v>
      </c>
      <c r="O21" s="100">
        <f t="shared" si="8"/>
        <v>4.2577346143568846</v>
      </c>
      <c r="P21" s="100">
        <f t="shared" si="9"/>
        <v>0.23486668159824856</v>
      </c>
      <c r="Q21" s="100">
        <f t="shared" si="10"/>
        <v>3.31809171572782</v>
      </c>
      <c r="R21" s="100">
        <f t="shared" si="11"/>
        <v>0.331809171572782</v>
      </c>
      <c r="S21" s="93">
        <f>Datos!$I$12*FGP!R21/100</f>
        <v>1663789.0165502664</v>
      </c>
      <c r="T21" s="94">
        <f t="shared" si="12"/>
        <v>68812489.674241662</v>
      </c>
      <c r="U21" s="95">
        <f t="shared" si="13"/>
        <v>4.5895437859296671</v>
      </c>
      <c r="V21" s="96"/>
      <c r="W21" s="97">
        <v>0.9189459125639704</v>
      </c>
      <c r="X21" s="97">
        <f t="shared" si="0"/>
        <v>0.66053779429599124</v>
      </c>
      <c r="Z21" s="98"/>
      <c r="AA21" s="98"/>
      <c r="AB21" s="96"/>
      <c r="AC21" s="96"/>
    </row>
    <row r="22" spans="1:29" s="6" customFormat="1" ht="16.5" customHeight="1" x14ac:dyDescent="0.25">
      <c r="A22" s="82" t="s">
        <v>66</v>
      </c>
      <c r="B22" s="99">
        <v>2.13</v>
      </c>
      <c r="C22" s="84">
        <f t="shared" si="1"/>
        <v>20800046.742929999</v>
      </c>
      <c r="D22" s="85">
        <f>CENSO!C23</f>
        <v>7499</v>
      </c>
      <c r="E22" s="86">
        <f t="shared" si="2"/>
        <v>0.63494348249439059</v>
      </c>
      <c r="F22" s="87">
        <f t="shared" si="3"/>
        <v>0.38096608949663435</v>
      </c>
      <c r="G22" s="88">
        <f>Datos!$I$12*FGP!F22/100</f>
        <v>1910276.2963969859</v>
      </c>
      <c r="H22" s="89">
        <f>'Predial y Agua'!D22</f>
        <v>1219342</v>
      </c>
      <c r="I22" s="90">
        <f>'Predial y Agua'!G22</f>
        <v>1976515</v>
      </c>
      <c r="J22" s="86">
        <f t="shared" si="4"/>
        <v>1.6209685223669816</v>
      </c>
      <c r="K22" s="86">
        <f t="shared" si="5"/>
        <v>6.9221641260595543</v>
      </c>
      <c r="L22" s="100">
        <f t="shared" si="6"/>
        <v>2.076649237817866</v>
      </c>
      <c r="M22" s="91">
        <f>Datos!$I$12*FGP!L22/100</f>
        <v>10412931.555603409</v>
      </c>
      <c r="N22" s="101">
        <f t="shared" si="7"/>
        <v>12323207.852000395</v>
      </c>
      <c r="O22" s="100">
        <f t="shared" si="8"/>
        <v>2.4576153273145005</v>
      </c>
      <c r="P22" s="100">
        <f t="shared" si="9"/>
        <v>0.40689850396267091</v>
      </c>
      <c r="Q22" s="100">
        <f t="shared" si="10"/>
        <v>5.7484805675844752</v>
      </c>
      <c r="R22" s="100">
        <f t="shared" si="11"/>
        <v>0.57484805675844752</v>
      </c>
      <c r="S22" s="93">
        <f>Datos!$I$12*FGP!R22/100</f>
        <v>2882457.6442130627</v>
      </c>
      <c r="T22" s="94">
        <f t="shared" si="12"/>
        <v>36005712.239143461</v>
      </c>
      <c r="U22" s="95">
        <f t="shared" si="13"/>
        <v>3.032463384072948</v>
      </c>
      <c r="V22" s="96"/>
      <c r="W22" s="97">
        <v>0.95554775379956836</v>
      </c>
      <c r="X22" s="97">
        <f t="shared" si="0"/>
        <v>0.66542076856741328</v>
      </c>
      <c r="Z22" s="98"/>
      <c r="AA22" s="98"/>
      <c r="AB22" s="96"/>
      <c r="AC22" s="96"/>
    </row>
    <row r="23" spans="1:29" s="6" customFormat="1" ht="16.5" customHeight="1" x14ac:dyDescent="0.25">
      <c r="A23" s="82" t="s">
        <v>67</v>
      </c>
      <c r="B23" s="99">
        <v>2.81</v>
      </c>
      <c r="C23" s="84">
        <f t="shared" si="1"/>
        <v>27440437.252410002</v>
      </c>
      <c r="D23" s="85">
        <f>CENSO!C24</f>
        <v>23477</v>
      </c>
      <c r="E23" s="86">
        <f t="shared" si="2"/>
        <v>1.9878074594640365</v>
      </c>
      <c r="F23" s="87">
        <f t="shared" si="3"/>
        <v>1.1926844756784218</v>
      </c>
      <c r="G23" s="88">
        <f>Datos!$I$12*FGP!F23/100</f>
        <v>5980471.6109497324</v>
      </c>
      <c r="H23" s="89">
        <f>'Predial y Agua'!D23</f>
        <v>4314653</v>
      </c>
      <c r="I23" s="90">
        <f>'Predial y Agua'!G23</f>
        <v>4697523</v>
      </c>
      <c r="J23" s="86">
        <f t="shared" si="4"/>
        <v>1.0887371475759464</v>
      </c>
      <c r="K23" s="86">
        <f t="shared" si="5"/>
        <v>4.6493297813419261</v>
      </c>
      <c r="L23" s="100">
        <f t="shared" si="6"/>
        <v>1.3947989344025777</v>
      </c>
      <c r="M23" s="91">
        <f>Datos!$I$12*FGP!L23/100</f>
        <v>6993933.098217546</v>
      </c>
      <c r="N23" s="101">
        <f t="shared" si="7"/>
        <v>12974404.709167279</v>
      </c>
      <c r="O23" s="100">
        <f t="shared" si="8"/>
        <v>2.5874834100809996</v>
      </c>
      <c r="P23" s="100">
        <f t="shared" si="9"/>
        <v>0.38647590786628294</v>
      </c>
      <c r="Q23" s="100">
        <f t="shared" si="10"/>
        <v>5.4599592393996872</v>
      </c>
      <c r="R23" s="100">
        <f t="shared" si="11"/>
        <v>0.54599592393996876</v>
      </c>
      <c r="S23" s="93">
        <f>Datos!$I$12*FGP!R23/100</f>
        <v>2737784.5435272222</v>
      </c>
      <c r="T23" s="94">
        <f t="shared" si="12"/>
        <v>43152626.505104505</v>
      </c>
      <c r="U23" s="95">
        <f t="shared" si="13"/>
        <v>3.1334793340209686</v>
      </c>
      <c r="V23" s="96"/>
      <c r="W23" s="97">
        <v>1.699762368686244</v>
      </c>
      <c r="X23" s="97">
        <f t="shared" si="0"/>
        <v>-0.61102522111029756</v>
      </c>
      <c r="Z23" s="98"/>
      <c r="AA23" s="98"/>
      <c r="AB23" s="96"/>
      <c r="AC23" s="96"/>
    </row>
    <row r="24" spans="1:29" s="6" customFormat="1" ht="16.5" customHeight="1" x14ac:dyDescent="0.25">
      <c r="A24" s="82" t="s">
        <v>68</v>
      </c>
      <c r="B24" s="99">
        <v>8.34</v>
      </c>
      <c r="C24" s="84">
        <f t="shared" si="1"/>
        <v>81442436.542740002</v>
      </c>
      <c r="D24" s="85">
        <f>CENSO!C25</f>
        <v>97820</v>
      </c>
      <c r="E24" s="86">
        <f t="shared" si="2"/>
        <v>8.2824605224164927</v>
      </c>
      <c r="F24" s="87">
        <f t="shared" si="3"/>
        <v>4.9694763134498956</v>
      </c>
      <c r="G24" s="88">
        <f>Datos!$I$12*FGP!F24/100</f>
        <v>24918419.431064557</v>
      </c>
      <c r="H24" s="89">
        <f>'Predial y Agua'!D24</f>
        <v>15229971</v>
      </c>
      <c r="I24" s="90">
        <f>'Predial y Agua'!G24</f>
        <v>16009888</v>
      </c>
      <c r="J24" s="86">
        <f t="shared" si="4"/>
        <v>1.0512093555529423</v>
      </c>
      <c r="K24" s="86">
        <f t="shared" si="5"/>
        <v>4.4890715578863984</v>
      </c>
      <c r="L24" s="100">
        <f t="shared" si="6"/>
        <v>1.3467214673659196</v>
      </c>
      <c r="M24" s="91">
        <f>Datos!$I$12*FGP!L24/100</f>
        <v>6752858.5033834372</v>
      </c>
      <c r="N24" s="101">
        <f t="shared" si="7"/>
        <v>31671277.934447996</v>
      </c>
      <c r="O24" s="100">
        <f t="shared" si="8"/>
        <v>6.3161977808158154</v>
      </c>
      <c r="P24" s="100">
        <f t="shared" si="9"/>
        <v>0.15832309796208402</v>
      </c>
      <c r="Q24" s="100">
        <f t="shared" si="10"/>
        <v>2.2367181082541108</v>
      </c>
      <c r="R24" s="100">
        <f t="shared" si="11"/>
        <v>0.2236718108254111</v>
      </c>
      <c r="S24" s="93">
        <f>Datos!$I$12*FGP!R24/100</f>
        <v>1121556.4066516431</v>
      </c>
      <c r="T24" s="94">
        <f t="shared" si="12"/>
        <v>114235270.88383965</v>
      </c>
      <c r="U24" s="95">
        <f t="shared" si="13"/>
        <v>6.5398695916412262</v>
      </c>
      <c r="V24" s="96"/>
      <c r="W24" s="97">
        <v>1.2135546261977699</v>
      </c>
      <c r="X24" s="97">
        <f t="shared" si="0"/>
        <v>-0.16234527064482762</v>
      </c>
      <c r="Z24" s="98"/>
      <c r="AA24" s="98"/>
      <c r="AB24" s="96"/>
      <c r="AC24" s="96"/>
    </row>
    <row r="25" spans="1:29" s="6" customFormat="1" ht="16.5" customHeight="1" x14ac:dyDescent="0.25">
      <c r="A25" s="82" t="s">
        <v>69</v>
      </c>
      <c r="B25" s="99">
        <v>3.5</v>
      </c>
      <c r="C25" s="84">
        <f t="shared" si="1"/>
        <v>34178480.563500002</v>
      </c>
      <c r="D25" s="85">
        <f>CENSO!C26</f>
        <v>39718</v>
      </c>
      <c r="E25" s="86">
        <f t="shared" si="2"/>
        <v>3.3629397569958934</v>
      </c>
      <c r="F25" s="87">
        <f t="shared" si="3"/>
        <v>2.0177638541975358</v>
      </c>
      <c r="G25" s="88">
        <f>Datos!$I$12*FGP!F25/100</f>
        <v>10117662.880423453</v>
      </c>
      <c r="H25" s="89">
        <f>'Predial y Agua'!D25</f>
        <v>11548623</v>
      </c>
      <c r="I25" s="90">
        <f>'Predial y Agua'!G25</f>
        <v>4565908</v>
      </c>
      <c r="J25" s="86">
        <f t="shared" si="4"/>
        <v>0.39536384554245124</v>
      </c>
      <c r="K25" s="86">
        <f t="shared" si="5"/>
        <v>1.6883569240188554</v>
      </c>
      <c r="L25" s="100">
        <f t="shared" si="6"/>
        <v>0.50650707720565658</v>
      </c>
      <c r="M25" s="91">
        <f>Datos!$I$12*FGP!L25/100</f>
        <v>2539775.8231492983</v>
      </c>
      <c r="N25" s="101">
        <f t="shared" si="7"/>
        <v>12657438.70357275</v>
      </c>
      <c r="O25" s="100">
        <f t="shared" si="8"/>
        <v>2.5242709314031924</v>
      </c>
      <c r="P25" s="100">
        <f t="shared" si="9"/>
        <v>0.3961539894785065</v>
      </c>
      <c r="Q25" s="100">
        <f t="shared" si="10"/>
        <v>5.5966868595249943</v>
      </c>
      <c r="R25" s="100">
        <f t="shared" si="11"/>
        <v>0.55966868595249941</v>
      </c>
      <c r="S25" s="93">
        <f>Datos!$I$12*FGP!R25/100</f>
        <v>2806343.8035215302</v>
      </c>
      <c r="T25" s="94">
        <f t="shared" si="12"/>
        <v>49642263.070594288</v>
      </c>
      <c r="U25" s="95">
        <f t="shared" si="13"/>
        <v>3.0839396173556919</v>
      </c>
      <c r="V25" s="96"/>
      <c r="W25" s="97">
        <v>0.93743913529070699</v>
      </c>
      <c r="X25" s="97">
        <f t="shared" si="0"/>
        <v>-0.5420752897482557</v>
      </c>
      <c r="Z25" s="98"/>
      <c r="AA25" s="98"/>
      <c r="AB25" s="96"/>
      <c r="AC25" s="96"/>
    </row>
    <row r="26" spans="1:29" s="6" customFormat="1" ht="16.5" customHeight="1" x14ac:dyDescent="0.25">
      <c r="A26" s="82" t="s">
        <v>70</v>
      </c>
      <c r="B26" s="99">
        <v>39</v>
      </c>
      <c r="C26" s="84">
        <f t="shared" si="1"/>
        <v>380845926.27900004</v>
      </c>
      <c r="D26" s="85">
        <f>CENSO!C27</f>
        <v>413608</v>
      </c>
      <c r="E26" s="86">
        <f t="shared" si="2"/>
        <v>35.020363236103471</v>
      </c>
      <c r="F26" s="87">
        <f t="shared" si="3"/>
        <v>21.012217941662083</v>
      </c>
      <c r="G26" s="88">
        <f>Datos!$I$12*FGP!F26/100</f>
        <v>105361455.9808194</v>
      </c>
      <c r="H26" s="89">
        <f>'Predial y Agua'!D26</f>
        <v>186622629</v>
      </c>
      <c r="I26" s="90">
        <f>'Predial y Agua'!G26</f>
        <v>339819544</v>
      </c>
      <c r="J26" s="86">
        <f t="shared" si="4"/>
        <v>1.8208914204075435</v>
      </c>
      <c r="K26" s="86">
        <f t="shared" si="5"/>
        <v>7.7759124214141311</v>
      </c>
      <c r="L26" s="100">
        <f t="shared" si="6"/>
        <v>2.3327737264242394</v>
      </c>
      <c r="M26" s="91">
        <f>Datos!$I$12*FGP!L26/100</f>
        <v>11697215.256963864</v>
      </c>
      <c r="N26" s="101">
        <f t="shared" si="7"/>
        <v>117058671.23778327</v>
      </c>
      <c r="O26" s="100">
        <f t="shared" si="8"/>
        <v>23.344991668086323</v>
      </c>
      <c r="P26" s="100">
        <f t="shared" si="9"/>
        <v>4.283574028287386E-2</v>
      </c>
      <c r="Q26" s="100">
        <f t="shared" si="10"/>
        <v>0.60516423190581725</v>
      </c>
      <c r="R26" s="100">
        <f t="shared" si="11"/>
        <v>6.0516423190581731E-2</v>
      </c>
      <c r="S26" s="93">
        <f>Datos!$I$12*FGP!R26/100</f>
        <v>303447.18847927393</v>
      </c>
      <c r="T26" s="94">
        <f t="shared" si="12"/>
        <v>498208044.70526254</v>
      </c>
      <c r="U26" s="95">
        <f t="shared" si="13"/>
        <v>23.405508091276904</v>
      </c>
      <c r="V26" s="96"/>
      <c r="W26" s="97">
        <v>0.78971025252641724</v>
      </c>
      <c r="X26" s="97">
        <f t="shared" si="0"/>
        <v>1.0311811678811262</v>
      </c>
      <c r="Z26" s="98"/>
      <c r="AA26" s="98"/>
      <c r="AB26" s="96"/>
      <c r="AC26" s="96"/>
    </row>
    <row r="27" spans="1:29" s="6" customFormat="1" ht="16.5" customHeight="1" x14ac:dyDescent="0.25">
      <c r="A27" s="82" t="s">
        <v>71</v>
      </c>
      <c r="B27" s="99">
        <v>3.79</v>
      </c>
      <c r="C27" s="84">
        <f t="shared" si="1"/>
        <v>37010411.81019</v>
      </c>
      <c r="D27" s="85">
        <f>CENSO!C28</f>
        <v>30565</v>
      </c>
      <c r="E27" s="86">
        <f t="shared" si="2"/>
        <v>2.5879513991786967</v>
      </c>
      <c r="F27" s="87">
        <f t="shared" si="3"/>
        <v>1.5527708395072179</v>
      </c>
      <c r="G27" s="88">
        <f>Datos!$I$12*FGP!F27/100</f>
        <v>7786050.8066907404</v>
      </c>
      <c r="H27" s="89">
        <f>'Predial y Agua'!D27</f>
        <v>1666341</v>
      </c>
      <c r="I27" s="90">
        <f>'Predial y Agua'!G27</f>
        <v>1900594</v>
      </c>
      <c r="J27" s="86">
        <f t="shared" si="4"/>
        <v>1.1405792691891996</v>
      </c>
      <c r="K27" s="86">
        <f t="shared" si="5"/>
        <v>4.8707157425733385</v>
      </c>
      <c r="L27" s="100">
        <f t="shared" si="6"/>
        <v>1.4612147227720016</v>
      </c>
      <c r="M27" s="91">
        <f>Datos!$I$12*FGP!L27/100</f>
        <v>7326961.4430664638</v>
      </c>
      <c r="N27" s="101">
        <f t="shared" si="7"/>
        <v>15113012.249757204</v>
      </c>
      <c r="O27" s="100">
        <f t="shared" si="8"/>
        <v>3.0139855622792195</v>
      </c>
      <c r="P27" s="100">
        <f t="shared" si="9"/>
        <v>0.33178659264836874</v>
      </c>
      <c r="Q27" s="100">
        <f t="shared" si="10"/>
        <v>4.6873329880789818</v>
      </c>
      <c r="R27" s="100">
        <f t="shared" si="11"/>
        <v>0.46873329880789821</v>
      </c>
      <c r="S27" s="93">
        <f>Datos!$I$12*FGP!R27/100</f>
        <v>2350366.961079889</v>
      </c>
      <c r="T27" s="94">
        <f t="shared" si="12"/>
        <v>54473791.021027088</v>
      </c>
      <c r="U27" s="95">
        <f t="shared" si="13"/>
        <v>3.4827188610871178</v>
      </c>
      <c r="V27" s="96"/>
      <c r="W27" s="97">
        <v>1.0987404654646735</v>
      </c>
      <c r="X27" s="97">
        <f t="shared" si="0"/>
        <v>4.1838803724526086E-2</v>
      </c>
      <c r="Z27" s="98"/>
      <c r="AA27" s="98"/>
      <c r="AB27" s="96"/>
      <c r="AC27" s="96"/>
    </row>
    <row r="28" spans="1:29" s="6" customFormat="1" ht="16.5" customHeight="1" thickBot="1" x14ac:dyDescent="0.3">
      <c r="A28" s="102" t="s">
        <v>72</v>
      </c>
      <c r="B28" s="398">
        <v>3.1</v>
      </c>
      <c r="C28" s="399">
        <f t="shared" si="1"/>
        <v>30272368.499100003</v>
      </c>
      <c r="D28" s="400">
        <f>CENSO!C29</f>
        <v>57418</v>
      </c>
      <c r="E28" s="401">
        <f t="shared" si="2"/>
        <v>4.8616061978747727</v>
      </c>
      <c r="F28" s="402">
        <f t="shared" si="3"/>
        <v>2.9169637187248636</v>
      </c>
      <c r="G28" s="403">
        <f>Datos!$I$12*FGP!F28/100</f>
        <v>14626516.120352333</v>
      </c>
      <c r="H28" s="404">
        <f>'Predial y Agua'!D28</f>
        <v>28960943</v>
      </c>
      <c r="I28" s="405">
        <f>'Predial y Agua'!G28</f>
        <v>25915777</v>
      </c>
      <c r="J28" s="401">
        <f t="shared" si="4"/>
        <v>0.8948526641553074</v>
      </c>
      <c r="K28" s="401">
        <f t="shared" si="5"/>
        <v>3.821367857828343</v>
      </c>
      <c r="L28" s="401">
        <f t="shared" si="6"/>
        <v>1.1464103573485029</v>
      </c>
      <c r="M28" s="406">
        <f>Datos!$I$12*FGP!L28/100</f>
        <v>5748439.5382287446</v>
      </c>
      <c r="N28" s="407">
        <f t="shared" si="7"/>
        <v>20374955.658581078</v>
      </c>
      <c r="O28" s="401">
        <f t="shared" si="8"/>
        <v>4.0633740760733668</v>
      </c>
      <c r="P28" s="401">
        <f t="shared" si="9"/>
        <v>0.24610089577732108</v>
      </c>
      <c r="Q28" s="401">
        <f t="shared" si="10"/>
        <v>3.4768036826472288</v>
      </c>
      <c r="R28" s="401">
        <f t="shared" si="11"/>
        <v>0.34768036826472293</v>
      </c>
      <c r="S28" s="408">
        <f>Datos!$I$12*FGP!R28/100</f>
        <v>1743371.8762114197</v>
      </c>
      <c r="T28" s="409">
        <f t="shared" si="12"/>
        <v>52390696.033892497</v>
      </c>
      <c r="U28" s="95">
        <f t="shared" si="13"/>
        <v>4.4110544443380899</v>
      </c>
      <c r="V28" s="96"/>
      <c r="W28" s="97">
        <v>1.0459205946760619</v>
      </c>
      <c r="X28" s="97">
        <f t="shared" si="0"/>
        <v>-0.15106793052075451</v>
      </c>
      <c r="Z28" s="98"/>
      <c r="AA28" s="98"/>
      <c r="AB28" s="96"/>
      <c r="AC28" s="96"/>
    </row>
    <row r="29" spans="1:29" s="6" customFormat="1" ht="16.5" customHeight="1" thickBot="1" x14ac:dyDescent="0.3">
      <c r="A29" s="103" t="s">
        <v>73</v>
      </c>
      <c r="B29" s="568">
        <f>SUM(B9:B28)</f>
        <v>100</v>
      </c>
      <c r="C29" s="569">
        <f>Datos!I10*22.5%</f>
        <v>976528016.10000002</v>
      </c>
      <c r="D29" s="287">
        <f>SUM(D9:D28)</f>
        <v>1181050</v>
      </c>
      <c r="E29" s="288">
        <f>SUM(E9:E28)</f>
        <v>100.00000000000001</v>
      </c>
      <c r="F29" s="289">
        <f t="shared" ref="F29:M29" si="14">SUM(F9:F28)</f>
        <v>59.999999999999993</v>
      </c>
      <c r="G29" s="290">
        <f>SUM(G9:G28)</f>
        <v>300857690.34000003</v>
      </c>
      <c r="H29" s="291">
        <f t="shared" si="14"/>
        <v>531897076</v>
      </c>
      <c r="I29" s="292">
        <f t="shared" si="14"/>
        <v>735767053</v>
      </c>
      <c r="J29" s="288">
        <f t="shared" si="14"/>
        <v>23.417077273053895</v>
      </c>
      <c r="K29" s="293">
        <f t="shared" si="14"/>
        <v>99.999999999999986</v>
      </c>
      <c r="L29" s="289">
        <f t="shared" si="14"/>
        <v>29.999999999999996</v>
      </c>
      <c r="M29" s="294">
        <f t="shared" si="14"/>
        <v>150428845.16999999</v>
      </c>
      <c r="N29" s="295">
        <f t="shared" si="7"/>
        <v>451286535.50999999</v>
      </c>
      <c r="O29" s="293">
        <f t="shared" ref="O29:T29" si="15">SUM(O9:O28)</f>
        <v>89.999999999999986</v>
      </c>
      <c r="P29" s="293">
        <f t="shared" si="15"/>
        <v>7.0783661730920775</v>
      </c>
      <c r="Q29" s="293">
        <f t="shared" si="15"/>
        <v>100.00000000000001</v>
      </c>
      <c r="R29" s="293">
        <f t="shared" si="15"/>
        <v>10</v>
      </c>
      <c r="S29" s="294">
        <f>Datos!I17</f>
        <v>50142948.390000008</v>
      </c>
      <c r="T29" s="410">
        <f t="shared" si="15"/>
        <v>1477957500</v>
      </c>
      <c r="U29" s="95">
        <f t="shared" si="13"/>
        <v>100</v>
      </c>
      <c r="V29" s="96"/>
      <c r="W29" s="97">
        <f>SUM(W9:W28)</f>
        <v>24.538698253136822</v>
      </c>
      <c r="X29" s="97"/>
      <c r="Z29" s="98"/>
      <c r="AA29" s="98"/>
      <c r="AB29" s="96"/>
      <c r="AC29" s="96"/>
    </row>
    <row r="30" spans="1:29" s="6" customFormat="1" ht="16.5" customHeight="1" x14ac:dyDescent="0.25">
      <c r="A30" s="686" t="s">
        <v>378</v>
      </c>
      <c r="B30" s="686"/>
      <c r="C30" s="686"/>
      <c r="D30" s="686"/>
      <c r="E30" s="686"/>
      <c r="F30" s="686"/>
      <c r="G30" s="686"/>
      <c r="H30" s="686"/>
      <c r="I30" s="686"/>
      <c r="J30" s="686"/>
      <c r="K30" s="686"/>
      <c r="L30" s="686"/>
      <c r="M30" s="686"/>
      <c r="N30" s="686"/>
      <c r="O30" s="686"/>
      <c r="P30" s="686"/>
      <c r="Q30" s="686"/>
      <c r="R30" s="686"/>
      <c r="S30" s="686"/>
      <c r="T30" s="686"/>
      <c r="U30" s="570"/>
      <c r="V30" s="96"/>
      <c r="W30" s="97"/>
      <c r="X30" s="97"/>
      <c r="Z30" s="98"/>
      <c r="AA30" s="98"/>
      <c r="AB30" s="96"/>
      <c r="AC30" s="96"/>
    </row>
    <row r="31" spans="1:29" s="6" customFormat="1" ht="21.75" customHeight="1" x14ac:dyDescent="0.25">
      <c r="A31" s="571"/>
      <c r="B31" s="602" t="s">
        <v>90</v>
      </c>
      <c r="C31" s="571"/>
      <c r="D31" s="571"/>
      <c r="E31" s="571"/>
      <c r="F31" s="571"/>
      <c r="G31" s="572"/>
      <c r="H31" s="573"/>
      <c r="I31" s="572"/>
      <c r="J31" s="574"/>
      <c r="K31" s="574"/>
      <c r="L31" s="574"/>
      <c r="M31" s="574"/>
      <c r="N31" s="574"/>
      <c r="O31" s="574"/>
      <c r="P31" s="574"/>
      <c r="Q31" s="574"/>
      <c r="R31" s="574"/>
      <c r="S31" s="574"/>
      <c r="T31" s="574"/>
      <c r="X31" s="97"/>
    </row>
    <row r="32" spans="1:29" s="6" customFormat="1" ht="27" customHeight="1" x14ac:dyDescent="0.25">
      <c r="A32" s="571"/>
      <c r="B32" s="685" t="s">
        <v>380</v>
      </c>
      <c r="C32" s="685"/>
      <c r="D32" s="685"/>
      <c r="E32" s="685"/>
      <c r="F32" s="685"/>
      <c r="G32" s="685"/>
      <c r="H32" s="685"/>
      <c r="I32" s="685"/>
      <c r="J32" s="685"/>
      <c r="K32" s="685"/>
      <c r="L32" s="685"/>
      <c r="M32" s="685"/>
      <c r="N32" s="685"/>
      <c r="O32" s="685"/>
      <c r="P32" s="685"/>
      <c r="Q32" s="685"/>
      <c r="R32" s="685"/>
      <c r="S32" s="685"/>
      <c r="T32" s="685"/>
      <c r="X32" s="97"/>
    </row>
    <row r="33" spans="1:20" x14ac:dyDescent="0.25">
      <c r="A33" s="575"/>
      <c r="B33" s="687" t="s">
        <v>381</v>
      </c>
      <c r="C33" s="687"/>
      <c r="D33" s="687"/>
      <c r="E33" s="687"/>
      <c r="F33" s="687"/>
      <c r="G33" s="687"/>
      <c r="H33" s="687"/>
      <c r="I33" s="687"/>
      <c r="J33" s="687"/>
      <c r="K33" s="687"/>
      <c r="L33" s="687"/>
      <c r="M33" s="687"/>
      <c r="N33" s="687"/>
      <c r="O33" s="687"/>
      <c r="P33" s="687"/>
      <c r="Q33" s="687"/>
      <c r="R33" s="687"/>
      <c r="S33" s="687"/>
      <c r="T33" s="687"/>
    </row>
    <row r="34" spans="1:20" x14ac:dyDescent="0.25">
      <c r="A34" s="575"/>
      <c r="B34" s="687" t="s">
        <v>382</v>
      </c>
      <c r="C34" s="687"/>
      <c r="D34" s="687"/>
      <c r="E34" s="687"/>
      <c r="F34" s="687"/>
      <c r="G34" s="687"/>
      <c r="H34" s="687"/>
      <c r="I34" s="687"/>
      <c r="J34" s="687"/>
      <c r="K34" s="687"/>
      <c r="L34" s="687"/>
      <c r="M34" s="687"/>
      <c r="N34" s="687"/>
      <c r="O34" s="687"/>
      <c r="P34" s="687"/>
      <c r="Q34" s="687"/>
      <c r="R34" s="687"/>
      <c r="S34" s="687"/>
      <c r="T34" s="687"/>
    </row>
    <row r="35" spans="1:20" x14ac:dyDescent="0.25">
      <c r="A35" s="575"/>
      <c r="B35" s="684" t="s">
        <v>383</v>
      </c>
      <c r="C35" s="684"/>
      <c r="D35" s="684"/>
      <c r="E35" s="684"/>
      <c r="F35" s="684"/>
      <c r="G35" s="684"/>
      <c r="H35" s="684"/>
      <c r="I35" s="684"/>
      <c r="J35" s="684"/>
      <c r="K35" s="684"/>
      <c r="L35" s="684"/>
      <c r="M35" s="684"/>
      <c r="N35" s="684"/>
      <c r="O35" s="684"/>
      <c r="P35" s="684"/>
      <c r="Q35" s="684"/>
      <c r="R35" s="684"/>
      <c r="S35" s="684"/>
      <c r="T35" s="684"/>
    </row>
    <row r="39" spans="1:20" x14ac:dyDescent="0.25">
      <c r="G39" s="394"/>
    </row>
    <row r="44" spans="1:20" x14ac:dyDescent="0.25">
      <c r="L44" s="81"/>
    </row>
    <row r="45" spans="1:20" x14ac:dyDescent="0.25">
      <c r="L45" s="81"/>
    </row>
    <row r="46" spans="1:20" x14ac:dyDescent="0.25">
      <c r="L46" s="81"/>
    </row>
    <row r="47" spans="1:20" x14ac:dyDescent="0.25">
      <c r="L47" s="81"/>
    </row>
    <row r="48" spans="1:20" x14ac:dyDescent="0.25">
      <c r="L48" s="81"/>
    </row>
    <row r="49" spans="12:12" x14ac:dyDescent="0.25">
      <c r="L49" s="81"/>
    </row>
    <row r="50" spans="12:12" x14ac:dyDescent="0.25">
      <c r="L50" s="81"/>
    </row>
    <row r="51" spans="12:12" x14ac:dyDescent="0.25">
      <c r="L51" s="81"/>
    </row>
    <row r="52" spans="12:12" x14ac:dyDescent="0.25">
      <c r="L52" s="81"/>
    </row>
    <row r="53" spans="12:12" x14ac:dyDescent="0.25">
      <c r="L53" s="81"/>
    </row>
    <row r="54" spans="12:12" x14ac:dyDescent="0.25">
      <c r="L54" s="81"/>
    </row>
    <row r="55" spans="12:12" x14ac:dyDescent="0.25">
      <c r="L55" s="81"/>
    </row>
    <row r="56" spans="12:12" x14ac:dyDescent="0.25">
      <c r="L56" s="81"/>
    </row>
    <row r="57" spans="12:12" x14ac:dyDescent="0.25">
      <c r="L57" s="81"/>
    </row>
    <row r="58" spans="12:12" x14ac:dyDescent="0.25">
      <c r="L58" s="81"/>
    </row>
    <row r="59" spans="12:12" x14ac:dyDescent="0.25">
      <c r="L59" s="81"/>
    </row>
    <row r="60" spans="12:12" x14ac:dyDescent="0.25">
      <c r="L60" s="81"/>
    </row>
    <row r="61" spans="12:12" x14ac:dyDescent="0.25">
      <c r="L61" s="81"/>
    </row>
    <row r="62" spans="12:12" x14ac:dyDescent="0.25">
      <c r="L62" s="81"/>
    </row>
    <row r="63" spans="12:12" x14ac:dyDescent="0.25">
      <c r="L63" s="81"/>
    </row>
    <row r="64" spans="12:12" x14ac:dyDescent="0.25">
      <c r="L64" s="81"/>
    </row>
  </sheetData>
  <mergeCells count="26">
    <mergeCell ref="B4:B7"/>
    <mergeCell ref="A2:T2"/>
    <mergeCell ref="A1:T1"/>
    <mergeCell ref="A4:A8"/>
    <mergeCell ref="H5:J6"/>
    <mergeCell ref="K5:K7"/>
    <mergeCell ref="N5:N7"/>
    <mergeCell ref="M5:M7"/>
    <mergeCell ref="O5:O7"/>
    <mergeCell ref="P5:P7"/>
    <mergeCell ref="Q5:Q7"/>
    <mergeCell ref="S5:S7"/>
    <mergeCell ref="C4:C7"/>
    <mergeCell ref="G5:G7"/>
    <mergeCell ref="T4:T7"/>
    <mergeCell ref="U4:U8"/>
    <mergeCell ref="E5:E6"/>
    <mergeCell ref="D4:G4"/>
    <mergeCell ref="H4:M4"/>
    <mergeCell ref="N4:S4"/>
    <mergeCell ref="R5:R7"/>
    <mergeCell ref="B35:T35"/>
    <mergeCell ref="B32:T32"/>
    <mergeCell ref="A30:T30"/>
    <mergeCell ref="B33:T33"/>
    <mergeCell ref="B34:T34"/>
  </mergeCells>
  <pageMargins left="0.70866141732283472" right="0.21" top="0.74803149606299213" bottom="0.74803149606299213" header="0.31496062992125984" footer="0.31496062992125984"/>
  <pageSetup paperSize="5" scale="52" orientation="landscape" r:id="rId1"/>
  <ignoredErrors>
    <ignoredError sqref="B8 D8 F8 H8" numberStoredAsText="1"/>
    <ignoredError sqref="S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7"/>
  <sheetViews>
    <sheetView zoomScale="80" zoomScaleNormal="80" workbookViewId="0">
      <selection activeCell="E24" sqref="E24"/>
    </sheetView>
  </sheetViews>
  <sheetFormatPr baseColWidth="10" defaultRowHeight="15" x14ac:dyDescent="0.25"/>
  <cols>
    <col min="1" max="1" width="3.7109375" customWidth="1"/>
    <col min="2" max="2" width="3.5703125" style="106" customWidth="1"/>
    <col min="3" max="3" width="26.42578125" customWidth="1"/>
    <col min="4" max="4" width="15.42578125" style="44" customWidth="1"/>
    <col min="5" max="5" width="13.85546875" customWidth="1"/>
    <col min="6" max="6" width="16.5703125" bestFit="1" customWidth="1"/>
    <col min="7" max="7" width="15.28515625" bestFit="1" customWidth="1"/>
    <col min="8" max="8" width="16.5703125" style="6" bestFit="1" customWidth="1"/>
    <col min="9" max="9" width="16.5703125" customWidth="1"/>
    <col min="10" max="10" width="16.140625" customWidth="1"/>
    <col min="11" max="12" width="18.140625" style="6" customWidth="1"/>
    <col min="13" max="13" width="15.5703125" customWidth="1"/>
    <col min="14" max="14" width="13" bestFit="1" customWidth="1"/>
    <col min="15" max="15" width="18.140625" style="6"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 min="38" max="39" width="13.5703125" bestFit="1" customWidth="1"/>
  </cols>
  <sheetData>
    <row r="1" spans="2:40" ht="18" x14ac:dyDescent="0.25">
      <c r="B1" s="739"/>
      <c r="C1" s="739"/>
      <c r="D1" s="739"/>
      <c r="E1" s="739"/>
      <c r="F1" s="739"/>
      <c r="G1" s="739"/>
      <c r="H1" s="739"/>
      <c r="I1" s="739"/>
      <c r="J1" s="739"/>
      <c r="K1" s="739"/>
      <c r="L1" s="739"/>
      <c r="M1" s="739"/>
      <c r="N1" s="739"/>
      <c r="O1" s="739"/>
      <c r="P1" s="739"/>
      <c r="Q1" s="739"/>
    </row>
    <row r="2" spans="2:40" x14ac:dyDescent="0.25">
      <c r="B2" s="738" t="s">
        <v>333</v>
      </c>
      <c r="C2" s="738"/>
      <c r="D2" s="738"/>
      <c r="E2" s="738"/>
      <c r="F2" s="738"/>
      <c r="G2" s="738"/>
      <c r="H2" s="738"/>
      <c r="I2" s="738"/>
      <c r="J2" s="738"/>
      <c r="K2" s="738"/>
      <c r="L2" s="738"/>
      <c r="M2" s="738"/>
      <c r="N2" s="738"/>
      <c r="O2" s="738"/>
      <c r="P2" s="738"/>
      <c r="Q2" s="738"/>
    </row>
    <row r="3" spans="2:40" x14ac:dyDescent="0.25">
      <c r="B3" s="740" t="s">
        <v>332</v>
      </c>
      <c r="C3" s="740"/>
      <c r="D3" s="740"/>
      <c r="E3" s="740"/>
      <c r="F3" s="740"/>
      <c r="G3" s="740"/>
      <c r="H3" s="740"/>
      <c r="I3" s="740"/>
      <c r="J3" s="740"/>
      <c r="K3" s="740"/>
      <c r="L3" s="740"/>
      <c r="M3" s="740"/>
      <c r="N3" s="740"/>
      <c r="O3" s="740"/>
      <c r="P3" s="740"/>
      <c r="Q3" s="740"/>
    </row>
    <row r="4" spans="2:40" ht="15.75" thickBot="1" x14ac:dyDescent="0.3">
      <c r="C4" s="414"/>
      <c r="D4" s="414"/>
      <c r="E4" s="414"/>
      <c r="F4" s="414"/>
      <c r="G4" s="414"/>
      <c r="H4" s="414"/>
      <c r="I4" s="414"/>
      <c r="J4" s="414"/>
      <c r="K4" s="414"/>
      <c r="L4" s="414"/>
      <c r="M4" s="414"/>
      <c r="N4" s="414"/>
      <c r="O4" s="414"/>
      <c r="P4" s="414"/>
    </row>
    <row r="5" spans="2:40" ht="15" customHeight="1" x14ac:dyDescent="0.25">
      <c r="B5" s="741" t="s">
        <v>91</v>
      </c>
      <c r="C5" s="720" t="s">
        <v>93</v>
      </c>
      <c r="D5" s="723">
        <v>2014</v>
      </c>
      <c r="E5" s="724"/>
      <c r="F5" s="723" t="s">
        <v>149</v>
      </c>
      <c r="G5" s="725"/>
      <c r="H5" s="724"/>
      <c r="I5" s="723" t="s">
        <v>150</v>
      </c>
      <c r="J5" s="725"/>
      <c r="K5" s="725"/>
      <c r="L5" s="724"/>
      <c r="M5" s="723" t="s">
        <v>37</v>
      </c>
      <c r="N5" s="725"/>
      <c r="O5" s="724"/>
      <c r="P5" s="109"/>
      <c r="Q5" s="744" t="s">
        <v>334</v>
      </c>
    </row>
    <row r="6" spans="2:40" ht="15" customHeight="1" x14ac:dyDescent="0.25">
      <c r="B6" s="742"/>
      <c r="C6" s="721"/>
      <c r="D6" s="728" t="s">
        <v>372</v>
      </c>
      <c r="E6" s="731" t="s">
        <v>373</v>
      </c>
      <c r="F6" s="528" t="s">
        <v>46</v>
      </c>
      <c r="G6" s="141" t="s">
        <v>154</v>
      </c>
      <c r="H6" s="533" t="s">
        <v>99</v>
      </c>
      <c r="I6" s="726" t="s">
        <v>96</v>
      </c>
      <c r="J6" s="727"/>
      <c r="K6" s="535" t="s">
        <v>244</v>
      </c>
      <c r="L6" s="751" t="s">
        <v>243</v>
      </c>
      <c r="M6" s="726" t="s">
        <v>311</v>
      </c>
      <c r="N6" s="727"/>
      <c r="O6" s="538" t="s">
        <v>97</v>
      </c>
      <c r="P6" s="110" t="s">
        <v>98</v>
      </c>
      <c r="Q6" s="745"/>
    </row>
    <row r="7" spans="2:40" x14ac:dyDescent="0.25">
      <c r="B7" s="742"/>
      <c r="C7" s="721"/>
      <c r="D7" s="729"/>
      <c r="E7" s="732"/>
      <c r="F7" s="528" t="s">
        <v>100</v>
      </c>
      <c r="G7" s="141"/>
      <c r="H7" s="529" t="s">
        <v>241</v>
      </c>
      <c r="I7" s="747">
        <v>2017</v>
      </c>
      <c r="J7" s="748"/>
      <c r="K7" s="456" t="s">
        <v>242</v>
      </c>
      <c r="L7" s="752"/>
      <c r="M7" s="749">
        <v>2017</v>
      </c>
      <c r="N7" s="750"/>
      <c r="O7" s="522" t="s">
        <v>312</v>
      </c>
      <c r="P7" s="111" t="s">
        <v>102</v>
      </c>
      <c r="Q7" s="745"/>
    </row>
    <row r="8" spans="2:40" x14ac:dyDescent="0.25">
      <c r="B8" s="742"/>
      <c r="C8" s="721"/>
      <c r="D8" s="730"/>
      <c r="E8" s="733"/>
      <c r="F8" s="530" t="s">
        <v>240</v>
      </c>
      <c r="G8" s="531" t="s">
        <v>101</v>
      </c>
      <c r="H8" s="532" t="s">
        <v>103</v>
      </c>
      <c r="I8" s="530" t="s">
        <v>104</v>
      </c>
      <c r="J8" s="534" t="s">
        <v>95</v>
      </c>
      <c r="K8" s="536" t="s">
        <v>103</v>
      </c>
      <c r="L8" s="753"/>
      <c r="M8" s="539" t="s">
        <v>104</v>
      </c>
      <c r="N8" s="340" t="s">
        <v>95</v>
      </c>
      <c r="O8" s="540" t="s">
        <v>105</v>
      </c>
      <c r="P8" s="113" t="s">
        <v>106</v>
      </c>
      <c r="Q8" s="746"/>
    </row>
    <row r="9" spans="2:40" ht="15.75" thickBot="1" x14ac:dyDescent="0.3">
      <c r="B9" s="743"/>
      <c r="C9" s="722"/>
      <c r="D9" s="114" t="s">
        <v>80</v>
      </c>
      <c r="E9" s="112" t="s">
        <v>107</v>
      </c>
      <c r="F9" s="115" t="s">
        <v>81</v>
      </c>
      <c r="G9" s="116" t="s">
        <v>108</v>
      </c>
      <c r="H9" s="117" t="s">
        <v>109</v>
      </c>
      <c r="I9" s="526" t="s">
        <v>110</v>
      </c>
      <c r="J9" s="527" t="s">
        <v>84</v>
      </c>
      <c r="K9" s="537" t="s">
        <v>111</v>
      </c>
      <c r="L9" s="521" t="s">
        <v>86</v>
      </c>
      <c r="M9" s="526" t="s">
        <v>112</v>
      </c>
      <c r="N9" s="27" t="s">
        <v>88</v>
      </c>
      <c r="O9" s="521" t="s">
        <v>113</v>
      </c>
      <c r="P9" s="118" t="s">
        <v>114</v>
      </c>
      <c r="Q9" s="119" t="s">
        <v>115</v>
      </c>
      <c r="S9" t="s">
        <v>116</v>
      </c>
      <c r="T9" t="s">
        <v>117</v>
      </c>
      <c r="U9" t="s">
        <v>118</v>
      </c>
      <c r="V9" t="s">
        <v>116</v>
      </c>
      <c r="W9" t="s">
        <v>117</v>
      </c>
      <c r="X9" t="s">
        <v>118</v>
      </c>
      <c r="Y9" s="107" t="s">
        <v>119</v>
      </c>
      <c r="Z9" s="107" t="s">
        <v>120</v>
      </c>
      <c r="AA9" s="107" t="s">
        <v>121</v>
      </c>
      <c r="AB9" s="107" t="s">
        <v>120</v>
      </c>
      <c r="AL9" s="126"/>
      <c r="AM9" s="126"/>
      <c r="AN9" s="126"/>
    </row>
    <row r="10" spans="2:40" ht="25.5" customHeight="1" x14ac:dyDescent="0.25">
      <c r="B10" s="553" t="s">
        <v>122</v>
      </c>
      <c r="C10" s="120" t="s">
        <v>53</v>
      </c>
      <c r="D10" s="121">
        <v>3.62</v>
      </c>
      <c r="E10" s="514">
        <v>15655542.292800002</v>
      </c>
      <c r="F10" s="504">
        <f>CENSO!C10</f>
        <v>37309</v>
      </c>
      <c r="G10" s="541">
        <f t="shared" ref="G10:G30" si="0">F10/F$30*100</f>
        <v>3.1589687142796663</v>
      </c>
      <c r="H10" s="547">
        <f>((Datos!K$24*0.7)*0.5)*G10%</f>
        <v>1235291.3267147026</v>
      </c>
      <c r="I10" s="504">
        <f>'Predial y Agua'!G9</f>
        <v>10764713</v>
      </c>
      <c r="J10" s="541">
        <f>I10/I$30*100</f>
        <v>1.4630599394343906</v>
      </c>
      <c r="K10" s="505">
        <f>((Datos!K$24*0.7)*(0.5))*FFM!J10%</f>
        <v>572118.75682002679</v>
      </c>
      <c r="L10" s="506">
        <f>H10+K10</f>
        <v>1807410.0835347294</v>
      </c>
      <c r="M10" s="504">
        <v>0</v>
      </c>
      <c r="N10" s="541">
        <v>0</v>
      </c>
      <c r="O10" s="542">
        <v>0</v>
      </c>
      <c r="P10" s="124">
        <f>H10+K10+O10</f>
        <v>1807410.0835347294</v>
      </c>
      <c r="Q10" s="122">
        <f>E10+L10+O10</f>
        <v>17462952.376334731</v>
      </c>
      <c r="R10" s="125">
        <f t="shared" ref="R10:R29" si="1">G10+J10</f>
        <v>4.6220286537140574</v>
      </c>
      <c r="S10" s="125">
        <f>R10/2</f>
        <v>2.3110143268570287</v>
      </c>
      <c r="T10" s="125">
        <f>2.480738</f>
        <v>2.4807380000000001</v>
      </c>
      <c r="U10" s="126">
        <f>S10-T10</f>
        <v>-0.16972367314297143</v>
      </c>
      <c r="V10" s="125">
        <f>N10</f>
        <v>0</v>
      </c>
      <c r="X10" s="125">
        <f>V10-W10</f>
        <v>0</v>
      </c>
      <c r="Y10" s="107">
        <v>3.3898570000000001</v>
      </c>
      <c r="Z10" s="127">
        <f>S10-Y10</f>
        <v>-1.0788426731429714</v>
      </c>
      <c r="AA10" s="107"/>
      <c r="AB10" s="107"/>
      <c r="AG10" s="125">
        <f>G10+J10</f>
        <v>4.6220286537140574</v>
      </c>
      <c r="AH10" s="125">
        <f>AG10/2</f>
        <v>2.3110143268570287</v>
      </c>
      <c r="AL10" s="126"/>
      <c r="AM10" s="126"/>
      <c r="AN10" s="126"/>
    </row>
    <row r="11" spans="2:40" ht="25.5" customHeight="1" x14ac:dyDescent="0.25">
      <c r="B11" s="549" t="s">
        <v>122</v>
      </c>
      <c r="C11" s="120" t="s">
        <v>54</v>
      </c>
      <c r="D11" s="121">
        <v>2.4700000000000002</v>
      </c>
      <c r="E11" s="502">
        <v>10682096.536800001</v>
      </c>
      <c r="F11" s="509">
        <f>CENSO!C11</f>
        <v>15953</v>
      </c>
      <c r="G11" s="480">
        <f t="shared" si="0"/>
        <v>1.3507472164599297</v>
      </c>
      <c r="H11" s="123">
        <f>((Datos!K$24*0.7)*0.5)*G11%</f>
        <v>528199.69806426472</v>
      </c>
      <c r="I11" s="509">
        <f>'Predial y Agua'!G10</f>
        <v>5967368</v>
      </c>
      <c r="J11" s="480">
        <f t="shared" ref="J11:J29" si="2">I11/I$30*100</f>
        <v>0.81104039324250632</v>
      </c>
      <c r="K11" s="175">
        <f>((Datos!K$24*0.7)*(0.5))*FFM!J11%</f>
        <v>317151.34083441045</v>
      </c>
      <c r="L11" s="510">
        <f t="shared" ref="L11:L29" si="3">H11+K11</f>
        <v>845351.03889867524</v>
      </c>
      <c r="M11" s="509">
        <v>0</v>
      </c>
      <c r="N11" s="480">
        <v>0</v>
      </c>
      <c r="O11" s="543">
        <v>0</v>
      </c>
      <c r="P11" s="124">
        <f t="shared" ref="P11:P29" si="4">H11+K11+O11</f>
        <v>845351.03889867524</v>
      </c>
      <c r="Q11" s="122">
        <f t="shared" ref="Q11:Q29" si="5">E11+L11+O11</f>
        <v>11527447.575698676</v>
      </c>
      <c r="R11" s="125">
        <f t="shared" si="1"/>
        <v>2.161787609702436</v>
      </c>
      <c r="S11" s="125">
        <f t="shared" ref="S11:S30" si="6">R11/2</f>
        <v>1.080893804851218</v>
      </c>
      <c r="T11" s="125">
        <v>1.0658129999999999</v>
      </c>
      <c r="U11" s="126">
        <f t="shared" ref="U11:U29" si="7">S11-T11</f>
        <v>1.5080804851218099E-2</v>
      </c>
      <c r="V11" s="125">
        <f t="shared" ref="V11:V29" si="8">N11</f>
        <v>0</v>
      </c>
      <c r="X11" s="125">
        <f t="shared" ref="X11:X29" si="9">V11-W11</f>
        <v>0</v>
      </c>
      <c r="Y11" s="107">
        <v>1.4561059999999999</v>
      </c>
      <c r="Z11" s="127">
        <f t="shared" ref="Z11:Z29" si="10">S11-Y11</f>
        <v>-0.3752121951487819</v>
      </c>
      <c r="AA11" s="107"/>
      <c r="AB11" s="107"/>
      <c r="AG11" s="125">
        <f t="shared" ref="AG11:AG30" si="11">G11+J11</f>
        <v>2.161787609702436</v>
      </c>
      <c r="AH11" s="125">
        <f t="shared" ref="AH11:AH30" si="12">AG11/2</f>
        <v>1.080893804851218</v>
      </c>
      <c r="AL11" s="126"/>
      <c r="AM11" s="126"/>
      <c r="AN11" s="126"/>
    </row>
    <row r="12" spans="2:40" ht="25.5" customHeight="1" x14ac:dyDescent="0.25">
      <c r="B12" s="549" t="s">
        <v>122</v>
      </c>
      <c r="C12" s="120" t="s">
        <v>55</v>
      </c>
      <c r="D12" s="121">
        <v>2.33</v>
      </c>
      <c r="E12" s="502">
        <v>10076633.575200001</v>
      </c>
      <c r="F12" s="509">
        <f>CENSO!C12</f>
        <v>11851</v>
      </c>
      <c r="G12" s="480">
        <f t="shared" si="0"/>
        <v>1.0034291520257399</v>
      </c>
      <c r="H12" s="123">
        <f>((Datos!K$24*0.7)*0.5)*G12%</f>
        <v>392383.54051022389</v>
      </c>
      <c r="I12" s="509">
        <f>'Predial y Agua'!G11</f>
        <v>1073953</v>
      </c>
      <c r="J12" s="480">
        <f t="shared" si="2"/>
        <v>0.1459637252879275</v>
      </c>
      <c r="K12" s="175">
        <f>((Datos!K$24*0.7)*(0.5))*FFM!J12%</f>
        <v>57078.03405842201</v>
      </c>
      <c r="L12" s="510">
        <f t="shared" si="3"/>
        <v>449461.57456864591</v>
      </c>
      <c r="M12" s="509">
        <v>0</v>
      </c>
      <c r="N12" s="480">
        <v>0</v>
      </c>
      <c r="O12" s="543">
        <v>0</v>
      </c>
      <c r="P12" s="124">
        <f t="shared" si="4"/>
        <v>449461.57456864591</v>
      </c>
      <c r="Q12" s="122">
        <f t="shared" si="5"/>
        <v>10526095.149768647</v>
      </c>
      <c r="R12" s="125">
        <f t="shared" si="1"/>
        <v>1.1493928773136675</v>
      </c>
      <c r="S12" s="125">
        <f t="shared" si="6"/>
        <v>0.57469643865683373</v>
      </c>
      <c r="T12" s="125">
        <v>0.85747200000000001</v>
      </c>
      <c r="U12" s="126">
        <f t="shared" si="7"/>
        <v>-0.28277556134316628</v>
      </c>
      <c r="V12" s="125">
        <f t="shared" si="8"/>
        <v>0</v>
      </c>
      <c r="X12" s="125">
        <f t="shared" si="9"/>
        <v>0</v>
      </c>
      <c r="Y12" s="107">
        <v>1.167629</v>
      </c>
      <c r="Z12" s="127">
        <f t="shared" si="10"/>
        <v>-0.5929325613431663</v>
      </c>
      <c r="AA12" s="107"/>
      <c r="AB12" s="107"/>
      <c r="AG12" s="125">
        <f t="shared" si="11"/>
        <v>1.1493928773136675</v>
      </c>
      <c r="AH12" s="125">
        <f t="shared" si="12"/>
        <v>0.57469643865683373</v>
      </c>
      <c r="AL12" s="126"/>
      <c r="AM12" s="126"/>
      <c r="AN12" s="126"/>
    </row>
    <row r="13" spans="2:40" ht="25.5" customHeight="1" x14ac:dyDescent="0.25">
      <c r="B13" s="549" t="s">
        <v>122</v>
      </c>
      <c r="C13" s="120" t="s">
        <v>56</v>
      </c>
      <c r="D13" s="121">
        <v>2.81</v>
      </c>
      <c r="E13" s="502">
        <v>12152506.5864</v>
      </c>
      <c r="F13" s="509">
        <f>CENSO!C13</f>
        <v>150250</v>
      </c>
      <c r="G13" s="480">
        <f t="shared" si="0"/>
        <v>12.721730663392744</v>
      </c>
      <c r="H13" s="123">
        <f>((Datos!K$24*0.7)*0.5)*G13%</f>
        <v>4974738.5842259005</v>
      </c>
      <c r="I13" s="509">
        <f>'Predial y Agua'!G12</f>
        <v>268805705</v>
      </c>
      <c r="J13" s="480">
        <f t="shared" si="2"/>
        <v>36.534077450733584</v>
      </c>
      <c r="K13" s="175">
        <f>((Datos!K$24*0.7)*(0.5))*FFM!J13%</f>
        <v>14286380.48879992</v>
      </c>
      <c r="L13" s="510">
        <f t="shared" si="3"/>
        <v>19261119.073025823</v>
      </c>
      <c r="M13" s="509">
        <v>0</v>
      </c>
      <c r="N13" s="480">
        <v>0</v>
      </c>
      <c r="O13" s="543">
        <v>0</v>
      </c>
      <c r="P13" s="124">
        <f t="shared" si="4"/>
        <v>19261119.073025823</v>
      </c>
      <c r="Q13" s="122">
        <f t="shared" si="5"/>
        <v>31413625.659425825</v>
      </c>
      <c r="R13" s="125">
        <f t="shared" si="1"/>
        <v>49.255808114126324</v>
      </c>
      <c r="S13" s="125">
        <f t="shared" si="6"/>
        <v>24.627904057063162</v>
      </c>
      <c r="T13" s="125">
        <v>26.514603000000001</v>
      </c>
      <c r="U13" s="126">
        <f t="shared" si="7"/>
        <v>-1.8866989429368388</v>
      </c>
      <c r="V13" s="125">
        <f t="shared" si="8"/>
        <v>0</v>
      </c>
      <c r="X13" s="125">
        <f t="shared" si="9"/>
        <v>0</v>
      </c>
      <c r="Y13" s="107">
        <v>39.874909000000002</v>
      </c>
      <c r="Z13" s="127">
        <f t="shared" si="10"/>
        <v>-15.24700494293684</v>
      </c>
      <c r="AA13" s="107"/>
      <c r="AB13" s="107"/>
      <c r="AG13" s="125">
        <f t="shared" si="11"/>
        <v>49.255808114126324</v>
      </c>
      <c r="AH13" s="125">
        <f t="shared" si="12"/>
        <v>24.627904057063162</v>
      </c>
      <c r="AL13" s="126"/>
      <c r="AM13" s="126"/>
      <c r="AN13" s="126"/>
    </row>
    <row r="14" spans="2:40" ht="25.5" customHeight="1" x14ac:dyDescent="0.25">
      <c r="B14" s="549" t="s">
        <v>122</v>
      </c>
      <c r="C14" s="120" t="s">
        <v>57</v>
      </c>
      <c r="D14" s="121">
        <v>4.6399999999999997</v>
      </c>
      <c r="E14" s="502">
        <v>20066772.441599999</v>
      </c>
      <c r="F14" s="509">
        <f>CENSO!C14</f>
        <v>75520</v>
      </c>
      <c r="G14" s="480">
        <f t="shared" si="0"/>
        <v>6.3943101477498834</v>
      </c>
      <c r="H14" s="123">
        <f>((Datos!K$24*0.7)*0.5)*G14%</f>
        <v>2500447.6398052578</v>
      </c>
      <c r="I14" s="509">
        <f>'Predial y Agua'!G13</f>
        <v>25483741</v>
      </c>
      <c r="J14" s="480">
        <f t="shared" si="2"/>
        <v>3.4635610409698514</v>
      </c>
      <c r="K14" s="175">
        <f>((Datos!K$24*0.7)*(0.5))*FFM!J14%</f>
        <v>1354399.9008653129</v>
      </c>
      <c r="L14" s="510">
        <f t="shared" si="3"/>
        <v>3854847.5406705709</v>
      </c>
      <c r="M14" s="509">
        <v>0</v>
      </c>
      <c r="N14" s="480">
        <v>0</v>
      </c>
      <c r="O14" s="543">
        <v>0</v>
      </c>
      <c r="P14" s="124">
        <f t="shared" si="4"/>
        <v>3854847.5406705709</v>
      </c>
      <c r="Q14" s="122">
        <f t="shared" si="5"/>
        <v>23921619.982270569</v>
      </c>
      <c r="R14" s="125">
        <f t="shared" si="1"/>
        <v>9.8578711887197343</v>
      </c>
      <c r="S14" s="125">
        <f t="shared" si="6"/>
        <v>4.9289355943598672</v>
      </c>
      <c r="T14" s="125">
        <v>5.371861</v>
      </c>
      <c r="U14" s="126">
        <f t="shared" si="7"/>
        <v>-0.44292540564013283</v>
      </c>
      <c r="V14" s="125">
        <f t="shared" si="8"/>
        <v>0</v>
      </c>
      <c r="X14" s="125">
        <f t="shared" si="9"/>
        <v>0</v>
      </c>
      <c r="Y14" s="107">
        <v>7.3199050000000003</v>
      </c>
      <c r="Z14" s="127">
        <f t="shared" si="10"/>
        <v>-2.3909694056401332</v>
      </c>
      <c r="AA14" s="107"/>
      <c r="AB14" s="107"/>
      <c r="AG14" s="125">
        <f t="shared" si="11"/>
        <v>9.8578711887197343</v>
      </c>
      <c r="AH14" s="125">
        <f t="shared" si="12"/>
        <v>4.9289355943598672</v>
      </c>
      <c r="AL14" s="126"/>
      <c r="AM14" s="126"/>
      <c r="AN14" s="126"/>
    </row>
    <row r="15" spans="2:40" s="6" customFormat="1" ht="25.5" customHeight="1" x14ac:dyDescent="0.25">
      <c r="B15" s="550" t="s">
        <v>123</v>
      </c>
      <c r="C15" s="128" t="s">
        <v>58</v>
      </c>
      <c r="D15" s="129">
        <v>1.5</v>
      </c>
      <c r="E15" s="525">
        <v>6487103.1600000001</v>
      </c>
      <c r="F15" s="509">
        <f>CENSO!C15</f>
        <v>42514</v>
      </c>
      <c r="G15" s="545">
        <f t="shared" si="0"/>
        <v>3.5996782524025233</v>
      </c>
      <c r="H15" s="123">
        <f>((Datos!K$24*0.7)*0.5)*G15%</f>
        <v>1407627.5285842256</v>
      </c>
      <c r="I15" s="509">
        <f>'Predial y Agua'!G14</f>
        <v>146487</v>
      </c>
      <c r="J15" s="545">
        <f t="shared" si="2"/>
        <v>1.9909426414612776E-2</v>
      </c>
      <c r="K15" s="175">
        <f>((Datos!K$24*0.7)*(0.5))*FFM!J15%</f>
        <v>7785.4337900411501</v>
      </c>
      <c r="L15" s="525">
        <f t="shared" si="3"/>
        <v>1415412.9623742667</v>
      </c>
      <c r="M15" s="544">
        <f>'FGP 30%'!I41</f>
        <v>23315</v>
      </c>
      <c r="N15" s="545">
        <f>M15/M$30*100</f>
        <v>0.32634403281720631</v>
      </c>
      <c r="O15" s="525">
        <f>(Datos!K24-FFM!H30-FFM!K$30)*FFM!N15%</f>
        <v>109383.78667024251</v>
      </c>
      <c r="P15" s="130">
        <f t="shared" si="4"/>
        <v>1524796.7490445091</v>
      </c>
      <c r="Q15" s="131">
        <f t="shared" si="5"/>
        <v>8011899.9090445088</v>
      </c>
      <c r="R15" s="96">
        <f t="shared" si="1"/>
        <v>3.6195876788171359</v>
      </c>
      <c r="S15" s="96">
        <f t="shared" si="6"/>
        <v>1.809793839408568</v>
      </c>
      <c r="T15" s="96">
        <v>1.826878</v>
      </c>
      <c r="U15" s="132">
        <f t="shared" si="7"/>
        <v>-1.7084160591432029E-2</v>
      </c>
      <c r="V15" s="96">
        <f t="shared" si="8"/>
        <v>0.32634403281720631</v>
      </c>
      <c r="W15" s="6">
        <v>0.35585699999999998</v>
      </c>
      <c r="X15" s="96">
        <f t="shared" si="9"/>
        <v>-2.951296718279367E-2</v>
      </c>
      <c r="Y15" s="133">
        <v>2.5551330000000001</v>
      </c>
      <c r="Z15" s="134">
        <f t="shared" si="10"/>
        <v>-0.74533916059143213</v>
      </c>
      <c r="AA15" s="133">
        <v>16.147120999999999</v>
      </c>
      <c r="AB15" s="133">
        <f>W15-AA15</f>
        <v>-15.791263999999998</v>
      </c>
      <c r="AG15" s="125">
        <f t="shared" si="11"/>
        <v>3.6195876788171359</v>
      </c>
      <c r="AH15" s="125">
        <f t="shared" si="12"/>
        <v>1.809793839408568</v>
      </c>
      <c r="AL15" s="132"/>
      <c r="AM15" s="132"/>
      <c r="AN15" s="132"/>
    </row>
    <row r="16" spans="2:40" s="6" customFormat="1" ht="25.5" customHeight="1" x14ac:dyDescent="0.25">
      <c r="B16" s="550" t="s">
        <v>123</v>
      </c>
      <c r="C16" s="128" t="s">
        <v>59</v>
      </c>
      <c r="D16" s="129">
        <v>1.53</v>
      </c>
      <c r="E16" s="525">
        <v>6616845.2232000008</v>
      </c>
      <c r="F16" s="509">
        <f>CENSO!C16</f>
        <v>12614</v>
      </c>
      <c r="G16" s="545">
        <f t="shared" si="0"/>
        <v>1.0680326827822699</v>
      </c>
      <c r="H16" s="123">
        <f>((Datos!K$24*0.7)*0.5)*G16%</f>
        <v>417646.27288802329</v>
      </c>
      <c r="I16" s="509">
        <f>'Predial y Agua'!G15</f>
        <v>37508</v>
      </c>
      <c r="J16" s="545">
        <f t="shared" si="2"/>
        <v>5.0978091295425269E-3</v>
      </c>
      <c r="K16" s="175">
        <f>((Datos!K$24*0.7)*(0.5))*FFM!J16%</f>
        <v>1993.4605159288096</v>
      </c>
      <c r="L16" s="525">
        <f t="shared" si="3"/>
        <v>419639.73340395209</v>
      </c>
      <c r="M16" s="544">
        <f>'FGP 30%'!I42</f>
        <v>10148</v>
      </c>
      <c r="N16" s="545">
        <f>M16/M$30*100</f>
        <v>0.14204328736989105</v>
      </c>
      <c r="O16" s="525">
        <f>(Datos!K24-FFM!H30-FFM!K$30)*FFM!N16%</f>
        <v>47609.979289282477</v>
      </c>
      <c r="P16" s="130">
        <f t="shared" si="4"/>
        <v>467249.71269323456</v>
      </c>
      <c r="Q16" s="131">
        <f t="shared" si="5"/>
        <v>7084094.9358932348</v>
      </c>
      <c r="R16" s="96">
        <f t="shared" si="1"/>
        <v>1.0731304919118125</v>
      </c>
      <c r="S16" s="96">
        <f t="shared" si="6"/>
        <v>0.53656524595590627</v>
      </c>
      <c r="T16" s="96">
        <v>0.53989200000000004</v>
      </c>
      <c r="U16" s="132">
        <f t="shared" si="7"/>
        <v>-3.3267540440937715E-3</v>
      </c>
      <c r="V16" s="96">
        <f t="shared" si="8"/>
        <v>0.14204328736989105</v>
      </c>
      <c r="W16" s="6">
        <v>0.19699800000000001</v>
      </c>
      <c r="X16" s="96">
        <f t="shared" si="9"/>
        <v>-5.4954712630108954E-2</v>
      </c>
      <c r="Y16" s="133">
        <v>0.75530600000000003</v>
      </c>
      <c r="Z16" s="134">
        <f t="shared" si="10"/>
        <v>-0.21874075404409377</v>
      </c>
      <c r="AA16" s="133">
        <v>4.7731430000000001</v>
      </c>
      <c r="AB16" s="133">
        <f t="shared" ref="AB16:AB28" si="13">W16-AA16</f>
        <v>-4.5761450000000004</v>
      </c>
      <c r="AG16" s="125">
        <f t="shared" si="11"/>
        <v>1.0731304919118125</v>
      </c>
      <c r="AH16" s="125">
        <f t="shared" si="12"/>
        <v>0.53656524595590627</v>
      </c>
      <c r="AL16" s="132"/>
      <c r="AM16" s="132"/>
      <c r="AN16" s="132"/>
    </row>
    <row r="17" spans="2:34" s="6" customFormat="1" ht="25.5" customHeight="1" x14ac:dyDescent="0.25">
      <c r="B17" s="551" t="s">
        <v>122</v>
      </c>
      <c r="C17" s="120" t="s">
        <v>60</v>
      </c>
      <c r="D17" s="135">
        <v>3.16</v>
      </c>
      <c r="E17" s="510">
        <v>13666163.990400001</v>
      </c>
      <c r="F17" s="509">
        <f>CENSO!C17</f>
        <v>29416</v>
      </c>
      <c r="G17" s="480">
        <f t="shared" si="0"/>
        <v>2.4906650861521529</v>
      </c>
      <c r="H17" s="123">
        <f>((Datos!K$24*0.7)*0.5)*G17%</f>
        <v>973956.14105550142</v>
      </c>
      <c r="I17" s="509">
        <f>'Predial y Agua'!G16</f>
        <v>12917753</v>
      </c>
      <c r="J17" s="480">
        <f t="shared" si="2"/>
        <v>1.7556851652067655</v>
      </c>
      <c r="K17" s="175">
        <f>((Datos!K$24*0.7)*(0.5))*FFM!J17%</f>
        <v>686547.68476114236</v>
      </c>
      <c r="L17" s="510">
        <f t="shared" si="3"/>
        <v>1660503.8258166439</v>
      </c>
      <c r="M17" s="509">
        <v>0</v>
      </c>
      <c r="N17" s="480">
        <v>0</v>
      </c>
      <c r="O17" s="525">
        <v>0</v>
      </c>
      <c r="P17" s="136">
        <f t="shared" si="4"/>
        <v>1660503.8258166439</v>
      </c>
      <c r="Q17" s="122">
        <f t="shared" si="5"/>
        <v>15326667.816216646</v>
      </c>
      <c r="R17" s="96">
        <f t="shared" si="1"/>
        <v>4.2463502513589182</v>
      </c>
      <c r="S17" s="96">
        <f t="shared" si="6"/>
        <v>2.1231751256794591</v>
      </c>
      <c r="T17" s="96">
        <v>2.598125</v>
      </c>
      <c r="U17" s="132">
        <f t="shared" si="7"/>
        <v>-0.47494987432054092</v>
      </c>
      <c r="V17" s="96">
        <f t="shared" si="8"/>
        <v>0</v>
      </c>
      <c r="X17" s="96">
        <f t="shared" si="9"/>
        <v>0</v>
      </c>
      <c r="Y17" s="133">
        <v>3.512527</v>
      </c>
      <c r="Z17" s="134">
        <f t="shared" si="10"/>
        <v>-1.3893518743205409</v>
      </c>
      <c r="AA17" s="133"/>
      <c r="AB17" s="133">
        <f t="shared" si="13"/>
        <v>0</v>
      </c>
      <c r="AG17" s="125">
        <f t="shared" si="11"/>
        <v>4.2463502513589182</v>
      </c>
      <c r="AH17" s="125">
        <f t="shared" si="12"/>
        <v>2.1231751256794591</v>
      </c>
    </row>
    <row r="18" spans="2:34" s="6" customFormat="1" ht="25.5" customHeight="1" x14ac:dyDescent="0.25">
      <c r="B18" s="551" t="s">
        <v>122</v>
      </c>
      <c r="C18" s="120" t="s">
        <v>61</v>
      </c>
      <c r="D18" s="135">
        <v>2.81</v>
      </c>
      <c r="E18" s="510">
        <v>12152506.5864</v>
      </c>
      <c r="F18" s="509">
        <f>CENSO!C18</f>
        <v>18580</v>
      </c>
      <c r="G18" s="480">
        <f t="shared" si="0"/>
        <v>1.5731764108208799</v>
      </c>
      <c r="H18" s="123">
        <f>((Datos!K$24*0.7)*0.5)*G18%</f>
        <v>615178.98765335931</v>
      </c>
      <c r="I18" s="509">
        <f>'Predial y Agua'!G17</f>
        <v>2600496</v>
      </c>
      <c r="J18" s="480">
        <f t="shared" si="2"/>
        <v>0.35344012611013176</v>
      </c>
      <c r="K18" s="175">
        <f>((Datos!K$24*0.7)*(0.5))*FFM!J18%</f>
        <v>138210.14444467329</v>
      </c>
      <c r="L18" s="510">
        <f t="shared" si="3"/>
        <v>753389.13209803263</v>
      </c>
      <c r="M18" s="509">
        <v>0</v>
      </c>
      <c r="N18" s="480">
        <v>0</v>
      </c>
      <c r="O18" s="525">
        <v>0</v>
      </c>
      <c r="P18" s="136">
        <f t="shared" si="4"/>
        <v>753389.13209803263</v>
      </c>
      <c r="Q18" s="122">
        <f t="shared" si="5"/>
        <v>12905895.718498033</v>
      </c>
      <c r="R18" s="96">
        <f t="shared" si="1"/>
        <v>1.9266165369310118</v>
      </c>
      <c r="S18" s="96">
        <f t="shared" si="6"/>
        <v>0.96330826846550588</v>
      </c>
      <c r="T18" s="96">
        <v>1.1819949999999999</v>
      </c>
      <c r="U18" s="132">
        <f t="shared" si="7"/>
        <v>-0.21868673153449403</v>
      </c>
      <c r="V18" s="96">
        <f t="shared" si="8"/>
        <v>0</v>
      </c>
      <c r="X18" s="96">
        <f t="shared" si="9"/>
        <v>0</v>
      </c>
      <c r="Y18" s="133">
        <v>1.6183019999999999</v>
      </c>
      <c r="Z18" s="134">
        <f t="shared" si="10"/>
        <v>-0.65499373153449403</v>
      </c>
      <c r="AA18" s="133"/>
      <c r="AB18" s="133">
        <f t="shared" si="13"/>
        <v>0</v>
      </c>
      <c r="AG18" s="125">
        <f t="shared" si="11"/>
        <v>1.9266165369310118</v>
      </c>
      <c r="AH18" s="125">
        <f t="shared" si="12"/>
        <v>0.96330826846550588</v>
      </c>
    </row>
    <row r="19" spans="2:34" s="6" customFormat="1" ht="25.5" customHeight="1" x14ac:dyDescent="0.25">
      <c r="B19" s="551" t="s">
        <v>122</v>
      </c>
      <c r="C19" s="120" t="s">
        <v>62</v>
      </c>
      <c r="D19" s="135">
        <v>1.6</v>
      </c>
      <c r="E19" s="510">
        <v>6919576.7039999999</v>
      </c>
      <c r="F19" s="509">
        <f>CENSO!C19</f>
        <v>14315</v>
      </c>
      <c r="G19" s="480">
        <f t="shared" si="0"/>
        <v>1.212057067863342</v>
      </c>
      <c r="H19" s="123">
        <f>((Datos!K$24*0.7)*0.5)*G19%</f>
        <v>473965.94231742935</v>
      </c>
      <c r="I19" s="509">
        <f>'Predial y Agua'!G18</f>
        <v>2200274</v>
      </c>
      <c r="J19" s="480">
        <f t="shared" si="2"/>
        <v>0.29904492067545729</v>
      </c>
      <c r="K19" s="175">
        <f>((Datos!K$24*0.7)*(0.5))*FFM!J19%</f>
        <v>116939.30210154486</v>
      </c>
      <c r="L19" s="510">
        <f t="shared" si="3"/>
        <v>590905.24441897427</v>
      </c>
      <c r="M19" s="509">
        <v>0</v>
      </c>
      <c r="N19" s="480">
        <v>0</v>
      </c>
      <c r="O19" s="525">
        <f>(Datos!K28-FFM!H34-FFM!K$30)*FFM!N19%</f>
        <v>0</v>
      </c>
      <c r="P19" s="136">
        <f t="shared" si="4"/>
        <v>590905.24441897427</v>
      </c>
      <c r="Q19" s="122">
        <f t="shared" si="5"/>
        <v>7510481.9484189739</v>
      </c>
      <c r="R19" s="96">
        <f t="shared" si="1"/>
        <v>1.5111019885387993</v>
      </c>
      <c r="S19" s="96">
        <f t="shared" si="6"/>
        <v>0.75555099426939965</v>
      </c>
      <c r="T19" s="96">
        <v>0.66424499999999997</v>
      </c>
      <c r="U19" s="132">
        <v>9.9999999999999995E-7</v>
      </c>
      <c r="V19" s="96">
        <f t="shared" si="8"/>
        <v>0</v>
      </c>
      <c r="X19" s="96">
        <f t="shared" si="9"/>
        <v>0</v>
      </c>
      <c r="Y19" s="133">
        <v>0.92457</v>
      </c>
      <c r="Z19" s="134">
        <f t="shared" si="10"/>
        <v>-0.16901900573060036</v>
      </c>
      <c r="AA19" s="133"/>
      <c r="AB19" s="133">
        <f t="shared" si="13"/>
        <v>0</v>
      </c>
      <c r="AG19" s="125">
        <f t="shared" si="11"/>
        <v>1.5111019885387993</v>
      </c>
      <c r="AH19" s="125">
        <f t="shared" si="12"/>
        <v>0.75555099426939965</v>
      </c>
    </row>
    <row r="20" spans="2:34" s="6" customFormat="1" ht="25.5" customHeight="1" x14ac:dyDescent="0.25">
      <c r="B20" s="550" t="s">
        <v>123</v>
      </c>
      <c r="C20" s="128" t="s">
        <v>63</v>
      </c>
      <c r="D20" s="129">
        <v>2.84</v>
      </c>
      <c r="E20" s="525">
        <v>12282248.649599999</v>
      </c>
      <c r="F20" s="509">
        <f>CENSO!C20</f>
        <v>33901</v>
      </c>
      <c r="G20" s="545">
        <f t="shared" si="0"/>
        <v>2.8704119215951907</v>
      </c>
      <c r="H20" s="123">
        <f>((Datos!K$24*0.7)*0.5)*G20%</f>
        <v>1122453.3294099316</v>
      </c>
      <c r="I20" s="509">
        <f>'Predial y Agua'!G19</f>
        <v>1759253</v>
      </c>
      <c r="J20" s="545">
        <f t="shared" si="2"/>
        <v>0.23910461780353734</v>
      </c>
      <c r="K20" s="175">
        <f>((Datos!K$24*0.7)*(0.5))*FFM!J20%</f>
        <v>93500.090461483036</v>
      </c>
      <c r="L20" s="525">
        <f t="shared" si="3"/>
        <v>1215953.4198714145</v>
      </c>
      <c r="M20" s="544">
        <f>'FGP 30%'!I46</f>
        <v>1207189</v>
      </c>
      <c r="N20" s="545">
        <f>M20/M$30*100</f>
        <v>16.897230393848186</v>
      </c>
      <c r="O20" s="525">
        <f>(Datos!K24-FFM!H30-FFM!K$30)*FFM!N20%</f>
        <v>5663603.0043604281</v>
      </c>
      <c r="P20" s="130">
        <f t="shared" si="4"/>
        <v>6879556.4242318422</v>
      </c>
      <c r="Q20" s="131">
        <f t="shared" si="5"/>
        <v>19161805.073831841</v>
      </c>
      <c r="R20" s="96">
        <f t="shared" si="1"/>
        <v>3.1095165393987281</v>
      </c>
      <c r="S20" s="96">
        <f t="shared" si="6"/>
        <v>1.554758269699364</v>
      </c>
      <c r="T20" s="96">
        <v>1.606241</v>
      </c>
      <c r="U20" s="132">
        <f t="shared" si="7"/>
        <v>-5.1482730300635993E-2</v>
      </c>
      <c r="V20" s="96">
        <f t="shared" si="8"/>
        <v>16.897230393848186</v>
      </c>
      <c r="W20" s="6">
        <v>16.427489000000001</v>
      </c>
      <c r="X20" s="96">
        <f t="shared" si="9"/>
        <v>0.46974139384818514</v>
      </c>
      <c r="Y20" s="133">
        <v>2.2329530000000002</v>
      </c>
      <c r="Z20" s="134">
        <f t="shared" si="10"/>
        <v>-0.67819473030063615</v>
      </c>
      <c r="AA20" s="133">
        <v>14.111107000000001</v>
      </c>
      <c r="AB20" s="133">
        <f t="shared" si="13"/>
        <v>2.3163820000000008</v>
      </c>
      <c r="AG20" s="125">
        <f t="shared" si="11"/>
        <v>3.1095165393987281</v>
      </c>
      <c r="AH20" s="125">
        <f t="shared" si="12"/>
        <v>1.554758269699364</v>
      </c>
    </row>
    <row r="21" spans="2:34" s="6" customFormat="1" ht="25.5" customHeight="1" x14ac:dyDescent="0.25">
      <c r="B21" s="551" t="s">
        <v>122</v>
      </c>
      <c r="C21" s="120" t="s">
        <v>64</v>
      </c>
      <c r="D21" s="135">
        <v>3.33</v>
      </c>
      <c r="E21" s="510">
        <v>14401369.015200002</v>
      </c>
      <c r="F21" s="509">
        <f>CENSO!C21</f>
        <v>24743</v>
      </c>
      <c r="G21" s="480">
        <f t="shared" si="0"/>
        <v>2.0950002116760511</v>
      </c>
      <c r="H21" s="123">
        <f>((Datos!K$24*0.7)*0.5)*G21%</f>
        <v>819234.32139435236</v>
      </c>
      <c r="I21" s="509">
        <f>'Predial y Agua'!G20</f>
        <v>2805300</v>
      </c>
      <c r="J21" s="480">
        <f t="shared" si="2"/>
        <v>0.38127556657528128</v>
      </c>
      <c r="K21" s="175">
        <f>((Datos!K$24*0.7)*(0.5))*FFM!J21%</f>
        <v>149094.9873449688</v>
      </c>
      <c r="L21" s="510">
        <f t="shared" si="3"/>
        <v>968329.30873932119</v>
      </c>
      <c r="M21" s="509">
        <v>0</v>
      </c>
      <c r="N21" s="480">
        <v>0</v>
      </c>
      <c r="O21" s="525">
        <f>(Datos!K30-FFM!H36-FFM!K$30)*FFM!N21%</f>
        <v>0</v>
      </c>
      <c r="P21" s="136">
        <f t="shared" si="4"/>
        <v>968329.30873932119</v>
      </c>
      <c r="Q21" s="122">
        <f t="shared" si="5"/>
        <v>15369698.323939323</v>
      </c>
      <c r="R21" s="96">
        <f t="shared" si="1"/>
        <v>2.4762757782513325</v>
      </c>
      <c r="S21" s="96">
        <f t="shared" si="6"/>
        <v>1.2381378891256662</v>
      </c>
      <c r="T21" s="96">
        <v>1.225519</v>
      </c>
      <c r="U21" s="132">
        <f t="shared" si="7"/>
        <v>1.2618889125666222E-2</v>
      </c>
      <c r="V21" s="96">
        <f t="shared" si="8"/>
        <v>0</v>
      </c>
      <c r="X21" s="96">
        <f t="shared" si="9"/>
        <v>0</v>
      </c>
      <c r="Y21" s="133">
        <v>1.699298</v>
      </c>
      <c r="Z21" s="134">
        <f t="shared" si="10"/>
        <v>-0.46116011087433373</v>
      </c>
      <c r="AA21" s="133"/>
      <c r="AB21" s="133">
        <f t="shared" si="13"/>
        <v>0</v>
      </c>
      <c r="AG21" s="125">
        <f t="shared" si="11"/>
        <v>2.4762757782513325</v>
      </c>
      <c r="AH21" s="125">
        <f t="shared" si="12"/>
        <v>1.2381378891256662</v>
      </c>
    </row>
    <row r="22" spans="2:34" s="6" customFormat="1" ht="25.5" customHeight="1" x14ac:dyDescent="0.25">
      <c r="B22" s="551" t="s">
        <v>122</v>
      </c>
      <c r="C22" s="120" t="s">
        <v>65</v>
      </c>
      <c r="D22" s="135">
        <v>4.6900000000000004</v>
      </c>
      <c r="E22" s="510">
        <v>20283009.213600002</v>
      </c>
      <c r="F22" s="509">
        <f>CENSO!C22</f>
        <v>43979</v>
      </c>
      <c r="G22" s="480">
        <f t="shared" si="0"/>
        <v>3.7237204182718768</v>
      </c>
      <c r="H22" s="123">
        <f>((Datos!K$24*0.7)*0.5)*G22%</f>
        <v>1456133.2991392403</v>
      </c>
      <c r="I22" s="509">
        <f>'Predial y Agua'!G21</f>
        <v>6318753</v>
      </c>
      <c r="J22" s="480">
        <f t="shared" si="2"/>
        <v>0.85879803590498627</v>
      </c>
      <c r="K22" s="175">
        <f>((Datos!K$24*0.7)*(0.5))*FFM!J22%</f>
        <v>335826.61339998699</v>
      </c>
      <c r="L22" s="510">
        <f t="shared" si="3"/>
        <v>1791959.9125392274</v>
      </c>
      <c r="M22" s="509">
        <v>0</v>
      </c>
      <c r="N22" s="480">
        <v>0</v>
      </c>
      <c r="O22" s="525">
        <v>0</v>
      </c>
      <c r="P22" s="136">
        <f t="shared" si="4"/>
        <v>1791959.9125392274</v>
      </c>
      <c r="Q22" s="122">
        <f t="shared" si="5"/>
        <v>22074969.126139231</v>
      </c>
      <c r="R22" s="96">
        <f t="shared" si="1"/>
        <v>4.5825184541768635</v>
      </c>
      <c r="S22" s="96">
        <f t="shared" si="6"/>
        <v>2.2912592270884318</v>
      </c>
      <c r="T22" s="96">
        <v>2.2379220000000002</v>
      </c>
      <c r="U22" s="132">
        <f t="shared" si="7"/>
        <v>5.3337227088431582E-2</v>
      </c>
      <c r="V22" s="96">
        <f t="shared" si="8"/>
        <v>0</v>
      </c>
      <c r="X22" s="96">
        <f t="shared" si="9"/>
        <v>0</v>
      </c>
      <c r="Y22" s="133">
        <v>3.0983839999999998</v>
      </c>
      <c r="Z22" s="134">
        <f t="shared" si="10"/>
        <v>-0.80712477291156803</v>
      </c>
      <c r="AA22" s="133"/>
      <c r="AB22" s="133">
        <f t="shared" si="13"/>
        <v>0</v>
      </c>
      <c r="AG22" s="125">
        <f t="shared" si="11"/>
        <v>4.5825184541768635</v>
      </c>
      <c r="AH22" s="125">
        <f t="shared" si="12"/>
        <v>2.2912592270884318</v>
      </c>
    </row>
    <row r="23" spans="2:34" s="6" customFormat="1" ht="25.5" customHeight="1" x14ac:dyDescent="0.25">
      <c r="B23" s="550" t="s">
        <v>123</v>
      </c>
      <c r="C23" s="128" t="s">
        <v>66</v>
      </c>
      <c r="D23" s="129">
        <v>2.13</v>
      </c>
      <c r="E23" s="525">
        <v>9211686.4871999994</v>
      </c>
      <c r="F23" s="509">
        <f>CENSO!C23</f>
        <v>7499</v>
      </c>
      <c r="G23" s="545">
        <f t="shared" si="0"/>
        <v>0.63494348249439059</v>
      </c>
      <c r="H23" s="123">
        <f>((Datos!K$24*0.7)*0.5)*G23%</f>
        <v>248289.94770788701</v>
      </c>
      <c r="I23" s="509">
        <f>'Predial y Agua'!G22</f>
        <v>1976515</v>
      </c>
      <c r="J23" s="545">
        <f t="shared" si="2"/>
        <v>0.26863325721653375</v>
      </c>
      <c r="K23" s="175">
        <f>((Datos!K$24*0.7)*(0.5))*FFM!J23%</f>
        <v>105047.04627388906</v>
      </c>
      <c r="L23" s="525">
        <f t="shared" si="3"/>
        <v>353336.99398177606</v>
      </c>
      <c r="M23" s="544">
        <f>'FGP 30%'!I49</f>
        <v>878681</v>
      </c>
      <c r="N23" s="545">
        <f>M23/M$30*100</f>
        <v>12.299047870463465</v>
      </c>
      <c r="O23" s="525">
        <f>(Datos!K24-FFM!H30-FFM!K$30)*FFM!N23%</f>
        <v>4122387.0922236913</v>
      </c>
      <c r="P23" s="130">
        <f t="shared" si="4"/>
        <v>4475724.0862054676</v>
      </c>
      <c r="Q23" s="131">
        <f t="shared" si="5"/>
        <v>13687410.573405467</v>
      </c>
      <c r="R23" s="96">
        <f t="shared" si="1"/>
        <v>0.90357673971092434</v>
      </c>
      <c r="S23" s="96">
        <f t="shared" si="6"/>
        <v>0.45178836985546217</v>
      </c>
      <c r="T23" s="96">
        <v>0.43209399999999998</v>
      </c>
      <c r="U23" s="132">
        <f t="shared" si="7"/>
        <v>1.969436985546219E-2</v>
      </c>
      <c r="V23" s="96">
        <f t="shared" si="8"/>
        <v>12.299047870463465</v>
      </c>
      <c r="W23" s="6">
        <v>11.183956</v>
      </c>
      <c r="X23" s="96">
        <f t="shared" si="9"/>
        <v>1.1150918704634645</v>
      </c>
      <c r="Y23" s="133">
        <v>0.59435300000000002</v>
      </c>
      <c r="Z23" s="134">
        <f t="shared" si="10"/>
        <v>-0.14256463014453785</v>
      </c>
      <c r="AA23" s="133">
        <v>3.7560030000000002</v>
      </c>
      <c r="AB23" s="133">
        <f t="shared" si="13"/>
        <v>7.4279530000000005</v>
      </c>
      <c r="AG23" s="125">
        <f t="shared" si="11"/>
        <v>0.90357673971092434</v>
      </c>
      <c r="AH23" s="125">
        <f t="shared" si="12"/>
        <v>0.45178836985546217</v>
      </c>
    </row>
    <row r="24" spans="2:34" s="6" customFormat="1" ht="25.5" customHeight="1" x14ac:dyDescent="0.25">
      <c r="B24" s="551" t="s">
        <v>124</v>
      </c>
      <c r="C24" s="120" t="s">
        <v>67</v>
      </c>
      <c r="D24" s="135">
        <v>2.81</v>
      </c>
      <c r="E24" s="510">
        <v>12152506.5864</v>
      </c>
      <c r="F24" s="509">
        <f>CENSO!C24</f>
        <v>23477</v>
      </c>
      <c r="G24" s="480">
        <f t="shared" si="0"/>
        <v>1.9878074594640365</v>
      </c>
      <c r="H24" s="123">
        <f>((Datos!K$24*0.7)*0.5)*G24%</f>
        <v>777317.38929698139</v>
      </c>
      <c r="I24" s="509">
        <f>'Predial y Agua'!G23</f>
        <v>4697523</v>
      </c>
      <c r="J24" s="480">
        <f t="shared" si="2"/>
        <v>0.63845248042113678</v>
      </c>
      <c r="K24" s="175">
        <f>((Datos!K$24*0.7)*(0.5))*FFM!J24%</f>
        <v>249662.11536652045</v>
      </c>
      <c r="L24" s="510">
        <f t="shared" si="3"/>
        <v>1026979.5046635019</v>
      </c>
      <c r="M24" s="509">
        <v>0</v>
      </c>
      <c r="N24" s="480">
        <v>0</v>
      </c>
      <c r="O24" s="510">
        <v>0</v>
      </c>
      <c r="P24" s="136">
        <f t="shared" si="4"/>
        <v>1026979.5046635019</v>
      </c>
      <c r="Q24" s="122">
        <f t="shared" si="5"/>
        <v>13179486.091063503</v>
      </c>
      <c r="R24" s="96">
        <f t="shared" si="1"/>
        <v>2.6262599398851734</v>
      </c>
      <c r="S24" s="96">
        <f t="shared" si="6"/>
        <v>1.3131299699425867</v>
      </c>
      <c r="T24" s="96">
        <v>1.3994949999999999</v>
      </c>
      <c r="U24" s="132">
        <f t="shared" si="7"/>
        <v>-8.636503005741325E-2</v>
      </c>
      <c r="V24" s="96">
        <f t="shared" si="8"/>
        <v>0</v>
      </c>
      <c r="X24" s="96">
        <f t="shared" si="9"/>
        <v>0</v>
      </c>
      <c r="Y24" s="133">
        <v>1.921861</v>
      </c>
      <c r="Z24" s="134">
        <f t="shared" si="10"/>
        <v>-0.60873103005741336</v>
      </c>
      <c r="AA24" s="133"/>
      <c r="AB24" s="133">
        <f t="shared" si="13"/>
        <v>0</v>
      </c>
      <c r="AG24" s="125">
        <f t="shared" si="11"/>
        <v>2.6262599398851734</v>
      </c>
      <c r="AH24" s="125">
        <f t="shared" si="12"/>
        <v>1.3131299699425867</v>
      </c>
    </row>
    <row r="25" spans="2:34" s="6" customFormat="1" ht="25.5" customHeight="1" x14ac:dyDescent="0.25">
      <c r="B25" s="550" t="s">
        <v>123</v>
      </c>
      <c r="C25" s="128" t="s">
        <v>68</v>
      </c>
      <c r="D25" s="129">
        <v>8.34</v>
      </c>
      <c r="E25" s="525">
        <v>36068293.569600001</v>
      </c>
      <c r="F25" s="509">
        <f>CENSO!C25</f>
        <v>97820</v>
      </c>
      <c r="G25" s="545">
        <f t="shared" si="0"/>
        <v>8.2824605224164927</v>
      </c>
      <c r="H25" s="123">
        <f>((Datos!K$24*0.7)*0.5)*G25%</f>
        <v>3238794.8639532612</v>
      </c>
      <c r="I25" s="509">
        <f>'Predial y Agua'!G24</f>
        <v>16009888</v>
      </c>
      <c r="J25" s="545">
        <f t="shared" si="2"/>
        <v>2.1759452172697382</v>
      </c>
      <c r="K25" s="175">
        <f>((Datos!K$24*0.7)*(0.5))*FFM!J25%</f>
        <v>850887.2665149424</v>
      </c>
      <c r="L25" s="525">
        <f t="shared" si="3"/>
        <v>4089682.1304682037</v>
      </c>
      <c r="M25" s="544">
        <f>'FGP 30%'!I51</f>
        <v>4200863</v>
      </c>
      <c r="N25" s="545">
        <f>M25/M$30*100</f>
        <v>58.800196128354607</v>
      </c>
      <c r="O25" s="525">
        <f>(Datos!K24-FFM!H30-FFM!K$30)*FFM!N25%</f>
        <v>19708612.57657795</v>
      </c>
      <c r="P25" s="130">
        <f t="shared" si="4"/>
        <v>23798294.707046155</v>
      </c>
      <c r="Q25" s="131">
        <f t="shared" si="5"/>
        <v>59866588.276646152</v>
      </c>
      <c r="R25" s="96">
        <f t="shared" si="1"/>
        <v>10.458405739686231</v>
      </c>
      <c r="S25" s="96">
        <f t="shared" si="6"/>
        <v>5.2292028698431157</v>
      </c>
      <c r="T25" s="96">
        <v>5.5728949999999999</v>
      </c>
      <c r="U25" s="132">
        <f t="shared" si="7"/>
        <v>-0.34369213015688427</v>
      </c>
      <c r="V25" s="96">
        <f t="shared" si="8"/>
        <v>58.800196128354607</v>
      </c>
      <c r="W25" s="6">
        <v>59.916367999999999</v>
      </c>
      <c r="X25" s="96">
        <f t="shared" si="9"/>
        <v>-1.1161718716453919</v>
      </c>
      <c r="Y25" s="133">
        <v>7.6699279999999996</v>
      </c>
      <c r="Z25" s="134">
        <f t="shared" si="10"/>
        <v>-2.440725130156884</v>
      </c>
      <c r="AA25" s="133">
        <v>48.469971999999999</v>
      </c>
      <c r="AB25" s="133">
        <f t="shared" si="13"/>
        <v>11.446396</v>
      </c>
      <c r="AG25" s="125">
        <f t="shared" si="11"/>
        <v>10.458405739686231</v>
      </c>
      <c r="AH25" s="125">
        <f t="shared" si="12"/>
        <v>5.2292028698431157</v>
      </c>
    </row>
    <row r="26" spans="2:34" s="6" customFormat="1" ht="25.5" customHeight="1" x14ac:dyDescent="0.25">
      <c r="B26" s="551" t="s">
        <v>122</v>
      </c>
      <c r="C26" s="120" t="s">
        <v>69</v>
      </c>
      <c r="D26" s="135">
        <v>3.5</v>
      </c>
      <c r="E26" s="510">
        <v>15136574.040000001</v>
      </c>
      <c r="F26" s="509">
        <f>CENSO!C26</f>
        <v>39718</v>
      </c>
      <c r="G26" s="480">
        <f t="shared" si="0"/>
        <v>3.3629397569958934</v>
      </c>
      <c r="H26" s="123">
        <f>((Datos!K$24*0.7)*0.5)*G26%</f>
        <v>1315052.6927672829</v>
      </c>
      <c r="I26" s="509">
        <f>'Predial y Agua'!G25</f>
        <v>4565908</v>
      </c>
      <c r="J26" s="480">
        <f t="shared" si="2"/>
        <v>0.62056434592756893</v>
      </c>
      <c r="K26" s="175">
        <f>((Datos!K$24*0.7)*(0.5))*FFM!J26%</f>
        <v>242667.09281655852</v>
      </c>
      <c r="L26" s="510">
        <f t="shared" si="3"/>
        <v>1557719.7855838414</v>
      </c>
      <c r="M26" s="509">
        <v>0</v>
      </c>
      <c r="N26" s="480">
        <v>0</v>
      </c>
      <c r="O26" s="510">
        <v>0</v>
      </c>
      <c r="P26" s="136">
        <f t="shared" si="4"/>
        <v>1557719.7855838414</v>
      </c>
      <c r="Q26" s="122">
        <f t="shared" si="5"/>
        <v>16694293.825583842</v>
      </c>
      <c r="R26" s="96">
        <f t="shared" si="1"/>
        <v>3.9835041029234626</v>
      </c>
      <c r="S26" s="96">
        <f t="shared" si="6"/>
        <v>1.9917520514617313</v>
      </c>
      <c r="T26" s="96">
        <v>2.767077</v>
      </c>
      <c r="U26" s="132">
        <f t="shared" si="7"/>
        <v>-0.77532494853826872</v>
      </c>
      <c r="V26" s="96">
        <f t="shared" si="8"/>
        <v>0</v>
      </c>
      <c r="X26" s="96">
        <f t="shared" si="9"/>
        <v>0</v>
      </c>
      <c r="Y26" s="133">
        <v>3.7737189999999998</v>
      </c>
      <c r="Z26" s="134">
        <f t="shared" si="10"/>
        <v>-1.7819669485382685</v>
      </c>
      <c r="AA26" s="133"/>
      <c r="AB26" s="133">
        <f t="shared" si="13"/>
        <v>0</v>
      </c>
      <c r="AG26" s="125">
        <f t="shared" si="11"/>
        <v>3.9835041029234626</v>
      </c>
      <c r="AH26" s="125">
        <f t="shared" si="12"/>
        <v>1.9917520514617313</v>
      </c>
    </row>
    <row r="27" spans="2:34" s="6" customFormat="1" ht="25.5" customHeight="1" x14ac:dyDescent="0.25">
      <c r="B27" s="551" t="s">
        <v>122</v>
      </c>
      <c r="C27" s="120" t="s">
        <v>70</v>
      </c>
      <c r="D27" s="135">
        <v>39</v>
      </c>
      <c r="E27" s="510">
        <v>168664682.16</v>
      </c>
      <c r="F27" s="509">
        <f>CENSO!C27</f>
        <v>413608</v>
      </c>
      <c r="G27" s="480">
        <f t="shared" si="0"/>
        <v>35.020363236103471</v>
      </c>
      <c r="H27" s="123">
        <f>((Datos!K$24*0.7)*0.5)*G27%</f>
        <v>13694453.75270886</v>
      </c>
      <c r="I27" s="509">
        <f>'Predial y Agua'!G26</f>
        <v>339819544</v>
      </c>
      <c r="J27" s="480">
        <f t="shared" si="2"/>
        <v>46.185751674314233</v>
      </c>
      <c r="K27" s="175">
        <f>((Datos!K$24*0.7)*(0.5))*FFM!J27%</f>
        <v>18060596.232935183</v>
      </c>
      <c r="L27" s="510">
        <f t="shared" si="3"/>
        <v>31755049.985644042</v>
      </c>
      <c r="M27" s="509">
        <v>0</v>
      </c>
      <c r="N27" s="480">
        <v>0</v>
      </c>
      <c r="O27" s="510">
        <v>0</v>
      </c>
      <c r="P27" s="136">
        <f t="shared" si="4"/>
        <v>31755049.985644042</v>
      </c>
      <c r="Q27" s="122">
        <f t="shared" si="5"/>
        <v>200419732.14564404</v>
      </c>
      <c r="R27" s="96">
        <f t="shared" si="1"/>
        <v>81.20611491041771</v>
      </c>
      <c r="S27" s="96">
        <f t="shared" si="6"/>
        <v>40.603057455208855</v>
      </c>
      <c r="T27" s="96">
        <v>35.053296000000003</v>
      </c>
      <c r="U27" s="132">
        <f t="shared" si="7"/>
        <v>5.5497614552088521</v>
      </c>
      <c r="V27" s="96">
        <f t="shared" si="8"/>
        <v>0</v>
      </c>
      <c r="X27" s="96">
        <f t="shared" si="9"/>
        <v>0</v>
      </c>
      <c r="Y27" s="133">
        <v>47.455587999999999</v>
      </c>
      <c r="Z27" s="134">
        <f t="shared" si="10"/>
        <v>-6.8525305447911435</v>
      </c>
      <c r="AA27" s="133"/>
      <c r="AB27" s="133">
        <f t="shared" si="13"/>
        <v>0</v>
      </c>
      <c r="AG27" s="125">
        <f t="shared" si="11"/>
        <v>81.20611491041771</v>
      </c>
      <c r="AH27" s="125">
        <f t="shared" si="12"/>
        <v>40.603057455208855</v>
      </c>
    </row>
    <row r="28" spans="2:34" s="6" customFormat="1" ht="25.5" customHeight="1" x14ac:dyDescent="0.25">
      <c r="B28" s="550" t="s">
        <v>125</v>
      </c>
      <c r="C28" s="128" t="s">
        <v>71</v>
      </c>
      <c r="D28" s="129">
        <v>3.79</v>
      </c>
      <c r="E28" s="525">
        <v>16390747.317600001</v>
      </c>
      <c r="F28" s="509">
        <f>CENSO!C28</f>
        <v>30565</v>
      </c>
      <c r="G28" s="545">
        <f t="shared" si="0"/>
        <v>2.5879513991786967</v>
      </c>
      <c r="H28" s="123">
        <f>((Datos!K$24*0.7)*0.5)*G28%</f>
        <v>1011999.2334566696</v>
      </c>
      <c r="I28" s="509">
        <f>'Predial y Agua'!G27</f>
        <v>1900594</v>
      </c>
      <c r="J28" s="545">
        <f t="shared" si="2"/>
        <v>0.25831463807064492</v>
      </c>
      <c r="K28" s="175">
        <f>((Datos!K$24*0.7)*(0.5))*FFM!J28%</f>
        <v>101012.0266559454</v>
      </c>
      <c r="L28" s="525">
        <f t="shared" si="3"/>
        <v>1113011.2601126151</v>
      </c>
      <c r="M28" s="544">
        <f>'FGP 30%'!I54</f>
        <v>824105</v>
      </c>
      <c r="N28" s="545">
        <f>M28/M$30*100</f>
        <v>11.535138287146635</v>
      </c>
      <c r="O28" s="525">
        <f>(Datos!K24-FFM!H30-FFM!K$30)*FFM!N28%</f>
        <v>3866340.3608784131</v>
      </c>
      <c r="P28" s="130">
        <f t="shared" si="4"/>
        <v>4979351.6209910279</v>
      </c>
      <c r="Q28" s="131">
        <f t="shared" si="5"/>
        <v>21370098.938591026</v>
      </c>
      <c r="R28" s="96">
        <f t="shared" si="1"/>
        <v>2.8462660372493414</v>
      </c>
      <c r="S28" s="96">
        <f t="shared" si="6"/>
        <v>1.4231330186246707</v>
      </c>
      <c r="T28" s="96">
        <v>1.450617</v>
      </c>
      <c r="U28" s="132">
        <f t="shared" si="7"/>
        <v>-2.7483981375329369E-2</v>
      </c>
      <c r="V28" s="96">
        <f t="shared" si="8"/>
        <v>11.535138287146635</v>
      </c>
      <c r="W28" s="6">
        <v>11.919331</v>
      </c>
      <c r="X28" s="96">
        <f t="shared" si="9"/>
        <v>-0.38419271285336443</v>
      </c>
      <c r="Y28" s="133">
        <v>2.0164080000000002</v>
      </c>
      <c r="Z28" s="134">
        <f t="shared" si="10"/>
        <v>-0.59327498137532952</v>
      </c>
      <c r="AA28" s="133">
        <v>12.742653000000001</v>
      </c>
      <c r="AB28" s="133">
        <f t="shared" si="13"/>
        <v>-0.823322000000001</v>
      </c>
      <c r="AG28" s="125">
        <f t="shared" si="11"/>
        <v>2.8462660372493414</v>
      </c>
      <c r="AH28" s="125">
        <f t="shared" si="12"/>
        <v>1.4231330186246707</v>
      </c>
    </row>
    <row r="29" spans="2:34" s="6" customFormat="1" ht="25.5" customHeight="1" thickBot="1" x14ac:dyDescent="0.3">
      <c r="B29" s="552" t="s">
        <v>122</v>
      </c>
      <c r="C29" s="137" t="s">
        <v>72</v>
      </c>
      <c r="D29" s="135">
        <v>3.1</v>
      </c>
      <c r="E29" s="510">
        <v>13406679.864</v>
      </c>
      <c r="F29" s="509">
        <f>CENSO!C29</f>
        <v>57418</v>
      </c>
      <c r="G29" s="480">
        <f t="shared" si="0"/>
        <v>4.8616061978747727</v>
      </c>
      <c r="H29" s="123">
        <f>((Datos!K$24*0.7)*0.5)*G29%</f>
        <v>1901095.1083466404</v>
      </c>
      <c r="I29" s="509">
        <f>'Predial y Agua'!G28</f>
        <v>25915777</v>
      </c>
      <c r="J29" s="480">
        <f t="shared" si="2"/>
        <v>3.5222801692915708</v>
      </c>
      <c r="K29" s="175">
        <f>((Datos!K$24*0.7)*(0.5))*FFM!J29%</f>
        <v>1377361.5812390952</v>
      </c>
      <c r="L29" s="510">
        <f t="shared" si="3"/>
        <v>3278456.6895857356</v>
      </c>
      <c r="M29" s="509">
        <v>0</v>
      </c>
      <c r="N29" s="480">
        <v>0</v>
      </c>
      <c r="O29" s="510">
        <v>0</v>
      </c>
      <c r="P29" s="136">
        <f t="shared" si="4"/>
        <v>3278456.6895857356</v>
      </c>
      <c r="Q29" s="122">
        <f t="shared" si="5"/>
        <v>16685136.553585736</v>
      </c>
      <c r="R29" s="96">
        <f t="shared" si="1"/>
        <v>8.3838863671663439</v>
      </c>
      <c r="S29" s="96">
        <f t="shared" si="6"/>
        <v>4.191943183583172</v>
      </c>
      <c r="T29" s="96">
        <v>5.1532229999999997</v>
      </c>
      <c r="U29" s="132">
        <f t="shared" si="7"/>
        <v>-0.96127981641682769</v>
      </c>
      <c r="V29" s="96">
        <f t="shared" si="8"/>
        <v>0</v>
      </c>
      <c r="X29" s="96">
        <f t="shared" si="9"/>
        <v>0</v>
      </c>
      <c r="Y29" s="133">
        <v>6.9632639999999997</v>
      </c>
      <c r="Z29" s="134">
        <f t="shared" si="10"/>
        <v>-2.7713208164168277</v>
      </c>
      <c r="AA29" s="133"/>
      <c r="AB29" s="133"/>
      <c r="AG29" s="125">
        <f t="shared" si="11"/>
        <v>8.3838863671663439</v>
      </c>
      <c r="AH29" s="125">
        <f t="shared" si="12"/>
        <v>4.191943183583172</v>
      </c>
    </row>
    <row r="30" spans="2:34" ht="15.75" thickBot="1" x14ac:dyDescent="0.3">
      <c r="B30" s="734" t="s">
        <v>73</v>
      </c>
      <c r="C30" s="735"/>
      <c r="D30" s="548">
        <f>SUM(D10:D29)</f>
        <v>100</v>
      </c>
      <c r="E30" s="413">
        <f>SUM(E10:E29)</f>
        <v>432473544.00000006</v>
      </c>
      <c r="F30" s="546">
        <f>SUM(F10:F29)</f>
        <v>1181050</v>
      </c>
      <c r="G30" s="411">
        <f t="shared" si="0"/>
        <v>100</v>
      </c>
      <c r="H30" s="138">
        <f>SUM(H10:H29)</f>
        <v>39104259.600000001</v>
      </c>
      <c r="I30" s="138">
        <f>SUM(I10:I29)</f>
        <v>735767053</v>
      </c>
      <c r="J30" s="411">
        <f>I30/I$30*100</f>
        <v>100</v>
      </c>
      <c r="K30" s="138">
        <f>SUM(K10:K29)</f>
        <v>39104259.599999994</v>
      </c>
      <c r="L30" s="413">
        <f>SUM(L10:L29)</f>
        <v>78208519.199999988</v>
      </c>
      <c r="M30" s="546">
        <f>SUM(M10:M29)</f>
        <v>7144301</v>
      </c>
      <c r="N30" s="411">
        <f>SUM(N10:N29)</f>
        <v>99.999999999999986</v>
      </c>
      <c r="O30" s="138">
        <f>([1]Datos!K$24-FFM!H$30-FFM!K$30)*FFM!N30%</f>
        <v>-28421970.199999992</v>
      </c>
      <c r="P30" s="412">
        <f>SUM(P10:P29)</f>
        <v>111726455.99999999</v>
      </c>
      <c r="Q30" s="413">
        <f>SUM(Q10:Q29)</f>
        <v>544200000</v>
      </c>
      <c r="R30" s="125">
        <f>SUM(R10:R29)</f>
        <v>200.00000000000003</v>
      </c>
      <c r="S30" s="125">
        <f t="shared" si="6"/>
        <v>100.00000000000001</v>
      </c>
      <c r="T30" s="125">
        <f>SUM(T10:T29)</f>
        <v>100.000001</v>
      </c>
      <c r="U30" s="125">
        <f>SUM(U10:U29)</f>
        <v>-9.1305994269399227E-2</v>
      </c>
      <c r="V30" s="125">
        <f>SUM(V10:V29)</f>
        <v>99.999999999999986</v>
      </c>
      <c r="W30" s="125">
        <f t="shared" ref="W30:X30" si="14">SUM(W10:W29)</f>
        <v>99.999999000000003</v>
      </c>
      <c r="X30" s="125">
        <f t="shared" si="14"/>
        <v>9.9999999081390456E-7</v>
      </c>
      <c r="Y30" s="127">
        <f>SUM(Y10:Y29)</f>
        <v>140.00000000000003</v>
      </c>
      <c r="Z30" s="127">
        <f t="shared" ref="Z30:AB30" si="15">SUM(Z10:Z29)</f>
        <v>-39.999999999999993</v>
      </c>
      <c r="AA30" s="127">
        <f t="shared" si="15"/>
        <v>99.999999000000003</v>
      </c>
      <c r="AB30" s="127">
        <f t="shared" si="15"/>
        <v>1.7763568394002505E-15</v>
      </c>
      <c r="AG30" s="125">
        <f t="shared" si="11"/>
        <v>200</v>
      </c>
      <c r="AH30">
        <f t="shared" si="12"/>
        <v>100</v>
      </c>
    </row>
    <row r="31" spans="2:34" x14ac:dyDescent="0.25">
      <c r="B31" s="736" t="s">
        <v>378</v>
      </c>
      <c r="C31" s="736"/>
      <c r="D31" s="736"/>
      <c r="E31" s="736"/>
      <c r="F31" s="736"/>
      <c r="G31" s="736"/>
      <c r="H31" s="736"/>
      <c r="I31" s="736"/>
      <c r="J31" s="736"/>
      <c r="K31" s="736"/>
      <c r="L31" s="736"/>
      <c r="M31" s="736"/>
      <c r="N31" s="736"/>
      <c r="O31" s="736"/>
      <c r="P31" s="736"/>
      <c r="Q31" s="736"/>
    </row>
    <row r="32" spans="2:34" x14ac:dyDescent="0.25">
      <c r="B32" s="576"/>
      <c r="C32" s="604" t="s">
        <v>377</v>
      </c>
      <c r="D32" s="577"/>
      <c r="E32" s="575"/>
      <c r="F32" s="575"/>
      <c r="G32" s="575"/>
      <c r="H32" s="578"/>
      <c r="I32" s="575"/>
      <c r="J32" s="575"/>
      <c r="K32" s="574"/>
      <c r="L32" s="574"/>
      <c r="M32" s="579"/>
      <c r="N32" s="579"/>
      <c r="O32" s="580"/>
      <c r="P32" s="575"/>
      <c r="Q32" s="575"/>
    </row>
    <row r="33" spans="2:21" ht="27" customHeight="1" x14ac:dyDescent="0.25">
      <c r="B33" s="576"/>
      <c r="C33" s="737" t="s">
        <v>380</v>
      </c>
      <c r="D33" s="737"/>
      <c r="E33" s="737"/>
      <c r="F33" s="737"/>
      <c r="G33" s="737"/>
      <c r="H33" s="737"/>
      <c r="I33" s="737"/>
      <c r="J33" s="737"/>
      <c r="K33" s="737"/>
      <c r="L33" s="737"/>
      <c r="M33" s="737"/>
      <c r="N33" s="737"/>
      <c r="O33" s="737"/>
      <c r="P33" s="737"/>
      <c r="Q33" s="737"/>
      <c r="R33" s="605"/>
      <c r="S33" s="605"/>
      <c r="T33" s="605"/>
      <c r="U33" s="605"/>
    </row>
    <row r="34" spans="2:21" x14ac:dyDescent="0.25">
      <c r="B34" s="576"/>
      <c r="C34" s="715" t="s">
        <v>384</v>
      </c>
      <c r="D34" s="715"/>
      <c r="E34" s="715"/>
      <c r="F34" s="715"/>
      <c r="G34" s="715"/>
      <c r="H34" s="715"/>
      <c r="I34" s="715"/>
      <c r="J34" s="715"/>
      <c r="K34" s="715"/>
      <c r="L34" s="715"/>
      <c r="M34" s="715"/>
      <c r="N34" s="715"/>
      <c r="O34" s="715"/>
      <c r="P34" s="715"/>
      <c r="Q34" s="715"/>
      <c r="R34" s="715"/>
      <c r="S34" s="715"/>
      <c r="T34" s="715"/>
      <c r="U34" s="715"/>
    </row>
    <row r="35" spans="2:21" ht="15" hidden="1" customHeight="1" x14ac:dyDescent="0.25">
      <c r="B35" s="576"/>
      <c r="C35" s="715" t="s">
        <v>379</v>
      </c>
      <c r="D35" s="715"/>
      <c r="E35" s="715"/>
      <c r="F35" s="715"/>
      <c r="G35" s="715"/>
      <c r="H35" s="715"/>
      <c r="I35" s="715"/>
      <c r="J35" s="715"/>
      <c r="K35" s="715"/>
      <c r="L35" s="715"/>
      <c r="M35" s="715"/>
      <c r="N35" s="715"/>
      <c r="O35" s="715"/>
      <c r="P35" s="715"/>
      <c r="Q35" s="715"/>
      <c r="R35" s="715"/>
      <c r="S35" s="715"/>
      <c r="T35" s="715"/>
      <c r="U35" s="715"/>
    </row>
    <row r="36" spans="2:21" hidden="1" x14ac:dyDescent="0.25">
      <c r="B36" s="576"/>
      <c r="C36" s="581"/>
      <c r="D36" s="581"/>
      <c r="E36" s="581"/>
      <c r="F36" s="581"/>
      <c r="G36" s="581"/>
      <c r="H36" s="581"/>
      <c r="I36" s="581"/>
      <c r="J36" s="581"/>
      <c r="K36" s="583"/>
      <c r="L36" s="583"/>
      <c r="M36" s="581"/>
      <c r="N36" s="581"/>
      <c r="O36" s="583"/>
      <c r="P36" s="581"/>
      <c r="Q36" s="581"/>
      <c r="R36" s="605"/>
      <c r="S36" s="605"/>
      <c r="T36" s="605"/>
      <c r="U36" s="605"/>
    </row>
    <row r="37" spans="2:21" hidden="1" x14ac:dyDescent="0.25">
      <c r="B37" s="576"/>
      <c r="C37" s="717" t="s">
        <v>93</v>
      </c>
      <c r="D37" s="584" t="s">
        <v>94</v>
      </c>
      <c r="E37" s="584" t="s">
        <v>28</v>
      </c>
      <c r="F37" s="584" t="s">
        <v>127</v>
      </c>
      <c r="G37" s="585" t="s">
        <v>128</v>
      </c>
      <c r="H37" s="585" t="s">
        <v>92</v>
      </c>
      <c r="I37" s="584" t="s">
        <v>129</v>
      </c>
      <c r="J37" s="584" t="s">
        <v>130</v>
      </c>
      <c r="K37" s="583"/>
      <c r="L37" s="583"/>
      <c r="M37" s="581"/>
      <c r="N37" s="581"/>
      <c r="O37" s="583"/>
      <c r="P37" s="581"/>
      <c r="Q37" s="581"/>
      <c r="R37" s="605"/>
      <c r="S37" s="605"/>
      <c r="T37" s="605"/>
      <c r="U37" s="605"/>
    </row>
    <row r="38" spans="2:21" hidden="1" x14ac:dyDescent="0.25">
      <c r="B38" s="576"/>
      <c r="C38" s="718"/>
      <c r="D38" s="586" t="s">
        <v>99</v>
      </c>
      <c r="E38" s="586" t="s">
        <v>38</v>
      </c>
      <c r="F38" s="586" t="s">
        <v>131</v>
      </c>
      <c r="G38" s="587" t="s">
        <v>132</v>
      </c>
      <c r="H38" s="587" t="s">
        <v>133</v>
      </c>
      <c r="I38" s="586" t="s">
        <v>134</v>
      </c>
      <c r="J38" s="586" t="s">
        <v>135</v>
      </c>
      <c r="K38" s="583"/>
      <c r="L38" s="583"/>
      <c r="M38" s="581"/>
      <c r="N38" s="581"/>
      <c r="O38" s="583"/>
      <c r="P38" s="581"/>
      <c r="Q38" s="581"/>
      <c r="R38" s="605"/>
      <c r="S38" s="605"/>
      <c r="T38" s="605"/>
      <c r="U38" s="605"/>
    </row>
    <row r="39" spans="2:21" hidden="1" x14ac:dyDescent="0.25">
      <c r="B39" s="576"/>
      <c r="C39" s="718"/>
      <c r="D39" s="588">
        <v>2014</v>
      </c>
      <c r="E39" s="588" t="s">
        <v>136</v>
      </c>
      <c r="F39" s="588" t="s">
        <v>137</v>
      </c>
      <c r="G39" s="587" t="s">
        <v>138</v>
      </c>
      <c r="H39" s="587" t="s">
        <v>139</v>
      </c>
      <c r="I39" s="586">
        <v>2014</v>
      </c>
      <c r="J39" s="586" t="s">
        <v>140</v>
      </c>
      <c r="K39" s="583"/>
      <c r="L39" s="583"/>
      <c r="M39" s="581"/>
      <c r="N39" s="581"/>
      <c r="O39" s="583"/>
      <c r="P39" s="581"/>
      <c r="Q39" s="581"/>
      <c r="R39" s="605"/>
      <c r="S39" s="605"/>
      <c r="T39" s="605"/>
      <c r="U39" s="605"/>
    </row>
    <row r="40" spans="2:21" hidden="1" x14ac:dyDescent="0.25">
      <c r="B40" s="576"/>
      <c r="C40" s="719"/>
      <c r="D40" s="589" t="s">
        <v>80</v>
      </c>
      <c r="E40" s="589" t="s">
        <v>107</v>
      </c>
      <c r="F40" s="589" t="s">
        <v>81</v>
      </c>
      <c r="G40" s="589" t="s">
        <v>108</v>
      </c>
      <c r="H40" s="589" t="s">
        <v>83</v>
      </c>
      <c r="I40" s="589" t="s">
        <v>141</v>
      </c>
      <c r="J40" s="589" t="s">
        <v>84</v>
      </c>
      <c r="K40" s="583"/>
      <c r="L40" s="583"/>
      <c r="M40" s="581"/>
      <c r="N40" s="581"/>
      <c r="O40" s="583"/>
      <c r="P40" s="581"/>
      <c r="Q40" s="581"/>
      <c r="R40" s="605"/>
      <c r="S40" s="605"/>
      <c r="T40" s="605"/>
      <c r="U40" s="605"/>
    </row>
    <row r="41" spans="2:21" hidden="1" x14ac:dyDescent="0.25">
      <c r="B41" s="576"/>
      <c r="C41" s="590" t="s">
        <v>53</v>
      </c>
      <c r="D41" s="591">
        <v>3.62</v>
      </c>
      <c r="E41" s="592">
        <f>[1]Datos!K$23*FFM!D41%</f>
        <v>15655542.292800002</v>
      </c>
      <c r="F41" s="593">
        <f>E41*0.7</f>
        <v>10958879.60496</v>
      </c>
      <c r="G41" s="593">
        <f t="shared" ref="G41:G61" si="16">H10+K10</f>
        <v>1807410.0835347294</v>
      </c>
      <c r="H41" s="593">
        <f t="shared" ref="H41:H61" si="17">E41+G41</f>
        <v>17462952.376334731</v>
      </c>
      <c r="I41" s="593">
        <f>F41+G41</f>
        <v>12766289.688494729</v>
      </c>
      <c r="J41" s="594">
        <f>H41-I41</f>
        <v>4696662.6878400017</v>
      </c>
      <c r="K41" s="583"/>
      <c r="L41" s="583"/>
      <c r="M41" s="581"/>
      <c r="N41" s="581"/>
      <c r="O41" s="583"/>
      <c r="P41" s="581"/>
      <c r="Q41" s="581"/>
      <c r="R41" s="605"/>
      <c r="S41" s="605"/>
      <c r="T41" s="605"/>
      <c r="U41" s="605"/>
    </row>
    <row r="42" spans="2:21" hidden="1" x14ac:dyDescent="0.25">
      <c r="B42" s="576"/>
      <c r="C42" s="595" t="s">
        <v>54</v>
      </c>
      <c r="D42" s="596">
        <v>2.4700000000000002</v>
      </c>
      <c r="E42" s="597">
        <f>[1]Datos!K$23*FFM!D42%</f>
        <v>10682096.536800001</v>
      </c>
      <c r="F42" s="593">
        <f t="shared" ref="F42:F61" si="18">E42*0.7</f>
        <v>7477467.5757600004</v>
      </c>
      <c r="G42" s="593">
        <f t="shared" si="16"/>
        <v>845351.03889867524</v>
      </c>
      <c r="H42" s="593">
        <f t="shared" si="17"/>
        <v>11527447.575698676</v>
      </c>
      <c r="I42" s="593">
        <f t="shared" ref="I42:I60" si="19">F42+G42</f>
        <v>8322818.6146586761</v>
      </c>
      <c r="J42" s="594">
        <f t="shared" ref="J42:J60" si="20">H42-I42</f>
        <v>3204628.9610399995</v>
      </c>
      <c r="K42" s="583"/>
      <c r="L42" s="583"/>
      <c r="M42" s="581"/>
      <c r="N42" s="581"/>
      <c r="O42" s="583"/>
      <c r="P42" s="581"/>
      <c r="Q42" s="581"/>
      <c r="R42" s="605"/>
      <c r="S42" s="605"/>
      <c r="T42" s="605"/>
      <c r="U42" s="605"/>
    </row>
    <row r="43" spans="2:21" hidden="1" x14ac:dyDescent="0.25">
      <c r="B43" s="576"/>
      <c r="C43" s="595" t="s">
        <v>55</v>
      </c>
      <c r="D43" s="596">
        <v>2.33</v>
      </c>
      <c r="E43" s="597">
        <f>[1]Datos!K$23*FFM!D43%</f>
        <v>10076633.575200001</v>
      </c>
      <c r="F43" s="593">
        <f t="shared" si="18"/>
        <v>7053643.5026400005</v>
      </c>
      <c r="G43" s="593">
        <f t="shared" si="16"/>
        <v>449461.57456864591</v>
      </c>
      <c r="H43" s="593">
        <f t="shared" si="17"/>
        <v>10526095.149768647</v>
      </c>
      <c r="I43" s="593">
        <f t="shared" si="19"/>
        <v>7503105.0772086466</v>
      </c>
      <c r="J43" s="594">
        <f t="shared" si="20"/>
        <v>3022990.0725600002</v>
      </c>
      <c r="K43" s="583"/>
      <c r="L43" s="583"/>
      <c r="M43" s="581"/>
      <c r="N43" s="581"/>
      <c r="O43" s="583"/>
      <c r="P43" s="581"/>
      <c r="Q43" s="581"/>
      <c r="R43" s="605"/>
      <c r="S43" s="605"/>
      <c r="T43" s="605"/>
      <c r="U43" s="605"/>
    </row>
    <row r="44" spans="2:21" hidden="1" x14ac:dyDescent="0.25">
      <c r="B44" s="576"/>
      <c r="C44" s="595" t="s">
        <v>56</v>
      </c>
      <c r="D44" s="596">
        <v>2.81</v>
      </c>
      <c r="E44" s="597">
        <f>[1]Datos!K$23*FFM!D44%</f>
        <v>12152506.5864</v>
      </c>
      <c r="F44" s="593">
        <f t="shared" si="18"/>
        <v>8506754.6104799993</v>
      </c>
      <c r="G44" s="593">
        <f t="shared" si="16"/>
        <v>19261119.073025823</v>
      </c>
      <c r="H44" s="593">
        <f t="shared" si="17"/>
        <v>31413625.659425825</v>
      </c>
      <c r="I44" s="593">
        <f t="shared" si="19"/>
        <v>27767873.683505822</v>
      </c>
      <c r="J44" s="594">
        <f t="shared" si="20"/>
        <v>3645751.9759200029</v>
      </c>
      <c r="K44" s="583"/>
      <c r="L44" s="583"/>
      <c r="M44" s="593"/>
      <c r="N44" s="581"/>
      <c r="O44" s="583"/>
      <c r="P44" s="581"/>
      <c r="Q44" s="581"/>
      <c r="R44" s="605"/>
      <c r="S44" s="605"/>
      <c r="T44" s="605"/>
      <c r="U44" s="605"/>
    </row>
    <row r="45" spans="2:21" hidden="1" x14ac:dyDescent="0.25">
      <c r="B45" s="576"/>
      <c r="C45" s="595" t="s">
        <v>57</v>
      </c>
      <c r="D45" s="596">
        <v>4.6399999999999997</v>
      </c>
      <c r="E45" s="597">
        <f>[1]Datos!K$23*FFM!D45%</f>
        <v>20066772.441599999</v>
      </c>
      <c r="F45" s="593">
        <f t="shared" si="18"/>
        <v>14046740.709119998</v>
      </c>
      <c r="G45" s="593">
        <f t="shared" si="16"/>
        <v>3854847.5406705709</v>
      </c>
      <c r="H45" s="593">
        <f t="shared" si="17"/>
        <v>23921619.982270569</v>
      </c>
      <c r="I45" s="593">
        <f t="shared" si="19"/>
        <v>17901588.249790568</v>
      </c>
      <c r="J45" s="594">
        <f t="shared" si="20"/>
        <v>6020031.7324800007</v>
      </c>
      <c r="K45" s="583"/>
      <c r="L45" s="583"/>
      <c r="M45" s="593"/>
      <c r="N45" s="581"/>
      <c r="O45" s="583"/>
      <c r="P45" s="581"/>
      <c r="Q45" s="581"/>
      <c r="R45" s="605"/>
      <c r="S45" s="605"/>
      <c r="T45" s="605"/>
      <c r="U45" s="605"/>
    </row>
    <row r="46" spans="2:21" hidden="1" x14ac:dyDescent="0.25">
      <c r="B46" s="576"/>
      <c r="C46" s="595" t="s">
        <v>58</v>
      </c>
      <c r="D46" s="596">
        <v>1.5</v>
      </c>
      <c r="E46" s="597">
        <f>[1]Datos!K$23*FFM!D46%</f>
        <v>6487103.1600000001</v>
      </c>
      <c r="F46" s="593">
        <f t="shared" si="18"/>
        <v>4540972.2119999994</v>
      </c>
      <c r="G46" s="593">
        <f t="shared" si="16"/>
        <v>1415412.9623742667</v>
      </c>
      <c r="H46" s="593">
        <f t="shared" si="17"/>
        <v>7902516.1223742664</v>
      </c>
      <c r="I46" s="593">
        <f t="shared" si="19"/>
        <v>5956385.1743742656</v>
      </c>
      <c r="J46" s="594">
        <f t="shared" si="20"/>
        <v>1946130.9480000008</v>
      </c>
      <c r="K46" s="583"/>
      <c r="L46" s="583"/>
      <c r="M46" s="593"/>
      <c r="N46" s="581"/>
      <c r="O46" s="583"/>
      <c r="P46" s="581"/>
      <c r="Q46" s="581"/>
      <c r="R46" s="605"/>
      <c r="S46" s="605"/>
      <c r="T46" s="605"/>
      <c r="U46" s="605"/>
    </row>
    <row r="47" spans="2:21" hidden="1" x14ac:dyDescent="0.25">
      <c r="B47" s="576"/>
      <c r="C47" s="595" t="s">
        <v>59</v>
      </c>
      <c r="D47" s="596">
        <v>1.53</v>
      </c>
      <c r="E47" s="597">
        <f>[1]Datos!K$23*FFM!D47%</f>
        <v>6616845.2232000008</v>
      </c>
      <c r="F47" s="593">
        <f t="shared" si="18"/>
        <v>4631791.6562400004</v>
      </c>
      <c r="G47" s="593">
        <f t="shared" si="16"/>
        <v>419639.73340395209</v>
      </c>
      <c r="H47" s="593">
        <f t="shared" si="17"/>
        <v>7036484.9566039527</v>
      </c>
      <c r="I47" s="593">
        <f t="shared" si="19"/>
        <v>5051431.3896439523</v>
      </c>
      <c r="J47" s="594">
        <f t="shared" si="20"/>
        <v>1985053.5669600004</v>
      </c>
      <c r="K47" s="583"/>
      <c r="L47" s="583"/>
      <c r="M47" s="581"/>
      <c r="N47" s="581"/>
      <c r="O47" s="583"/>
      <c r="P47" s="581"/>
      <c r="Q47" s="581"/>
      <c r="R47" s="605"/>
      <c r="S47" s="605"/>
      <c r="T47" s="605"/>
      <c r="U47" s="605"/>
    </row>
    <row r="48" spans="2:21" hidden="1" x14ac:dyDescent="0.25">
      <c r="B48" s="576"/>
      <c r="C48" s="595" t="s">
        <v>60</v>
      </c>
      <c r="D48" s="596">
        <v>3.16</v>
      </c>
      <c r="E48" s="597">
        <f>[1]Datos!K$23*FFM!D48%</f>
        <v>13666163.990400001</v>
      </c>
      <c r="F48" s="593">
        <f t="shared" si="18"/>
        <v>9566314.7932799999</v>
      </c>
      <c r="G48" s="593">
        <f t="shared" si="16"/>
        <v>1660503.8258166439</v>
      </c>
      <c r="H48" s="593">
        <f t="shared" si="17"/>
        <v>15326667.816216646</v>
      </c>
      <c r="I48" s="593">
        <f t="shared" si="19"/>
        <v>11226818.619096644</v>
      </c>
      <c r="J48" s="594">
        <f t="shared" si="20"/>
        <v>4099849.1971200015</v>
      </c>
      <c r="K48" s="583"/>
      <c r="L48" s="583"/>
      <c r="M48" s="581"/>
      <c r="N48" s="581"/>
      <c r="O48" s="583"/>
      <c r="P48" s="581"/>
      <c r="Q48" s="581"/>
      <c r="R48" s="605"/>
      <c r="S48" s="605"/>
      <c r="T48" s="605"/>
      <c r="U48" s="605"/>
    </row>
    <row r="49" spans="2:21" hidden="1" x14ac:dyDescent="0.25">
      <c r="B49" s="576"/>
      <c r="C49" s="595" t="s">
        <v>61</v>
      </c>
      <c r="D49" s="596">
        <v>2.81</v>
      </c>
      <c r="E49" s="597">
        <f>[1]Datos!K$23*FFM!D49%</f>
        <v>12152506.5864</v>
      </c>
      <c r="F49" s="593">
        <f t="shared" si="18"/>
        <v>8506754.6104799993</v>
      </c>
      <c r="G49" s="593">
        <f t="shared" si="16"/>
        <v>753389.13209803263</v>
      </c>
      <c r="H49" s="593">
        <f t="shared" si="17"/>
        <v>12905895.718498033</v>
      </c>
      <c r="I49" s="593">
        <f t="shared" si="19"/>
        <v>9260143.7425780315</v>
      </c>
      <c r="J49" s="594">
        <f t="shared" si="20"/>
        <v>3645751.975920001</v>
      </c>
      <c r="K49" s="583"/>
      <c r="L49" s="583"/>
      <c r="M49" s="581"/>
      <c r="N49" s="581"/>
      <c r="O49" s="583"/>
      <c r="P49" s="581"/>
      <c r="Q49" s="581"/>
      <c r="R49" s="605"/>
      <c r="S49" s="605"/>
      <c r="T49" s="605"/>
      <c r="U49" s="605"/>
    </row>
    <row r="50" spans="2:21" hidden="1" x14ac:dyDescent="0.25">
      <c r="B50" s="576"/>
      <c r="C50" s="595" t="s">
        <v>62</v>
      </c>
      <c r="D50" s="596">
        <v>1.6</v>
      </c>
      <c r="E50" s="597">
        <f>[1]Datos!K$23*FFM!D50%</f>
        <v>6919576.7039999999</v>
      </c>
      <c r="F50" s="593">
        <f t="shared" si="18"/>
        <v>4843703.6927999994</v>
      </c>
      <c r="G50" s="593">
        <f t="shared" si="16"/>
        <v>590905.24441897427</v>
      </c>
      <c r="H50" s="593">
        <f t="shared" si="17"/>
        <v>7510481.9484189739</v>
      </c>
      <c r="I50" s="593">
        <f t="shared" si="19"/>
        <v>5434608.9372189734</v>
      </c>
      <c r="J50" s="594">
        <f t="shared" si="20"/>
        <v>2075873.0112000005</v>
      </c>
      <c r="K50" s="583"/>
      <c r="L50" s="583"/>
      <c r="M50" s="581"/>
      <c r="N50" s="581"/>
      <c r="O50" s="583"/>
      <c r="P50" s="581"/>
      <c r="Q50" s="581"/>
      <c r="R50" s="605"/>
      <c r="S50" s="605"/>
      <c r="T50" s="605"/>
      <c r="U50" s="605"/>
    </row>
    <row r="51" spans="2:21" hidden="1" x14ac:dyDescent="0.25">
      <c r="B51" s="576"/>
      <c r="C51" s="595" t="s">
        <v>63</v>
      </c>
      <c r="D51" s="596">
        <v>2.84</v>
      </c>
      <c r="E51" s="597">
        <f>[1]Datos!K$23*FFM!D51%</f>
        <v>12282248.649599999</v>
      </c>
      <c r="F51" s="593">
        <f t="shared" si="18"/>
        <v>8597574.0547199994</v>
      </c>
      <c r="G51" s="593">
        <f t="shared" si="16"/>
        <v>1215953.4198714145</v>
      </c>
      <c r="H51" s="593">
        <f t="shared" si="17"/>
        <v>13498202.069471413</v>
      </c>
      <c r="I51" s="593">
        <f t="shared" si="19"/>
        <v>9813527.4745914135</v>
      </c>
      <c r="J51" s="594">
        <f t="shared" si="20"/>
        <v>3684674.5948799998</v>
      </c>
      <c r="K51" s="583"/>
      <c r="L51" s="583"/>
      <c r="M51" s="581"/>
      <c r="N51" s="581"/>
      <c r="O51" s="583"/>
      <c r="P51" s="581"/>
      <c r="Q51" s="581"/>
      <c r="R51" s="605"/>
      <c r="S51" s="605"/>
      <c r="T51" s="605"/>
      <c r="U51" s="605"/>
    </row>
    <row r="52" spans="2:21" hidden="1" x14ac:dyDescent="0.25">
      <c r="B52" s="576"/>
      <c r="C52" s="595" t="s">
        <v>64</v>
      </c>
      <c r="D52" s="596">
        <v>3.33</v>
      </c>
      <c r="E52" s="597">
        <f>[1]Datos!K$23*FFM!D52%</f>
        <v>14401369.015200002</v>
      </c>
      <c r="F52" s="593">
        <f t="shared" si="18"/>
        <v>10080958.310640002</v>
      </c>
      <c r="G52" s="593">
        <f t="shared" si="16"/>
        <v>968329.30873932119</v>
      </c>
      <c r="H52" s="593">
        <f t="shared" si="17"/>
        <v>15369698.323939323</v>
      </c>
      <c r="I52" s="593">
        <f t="shared" si="19"/>
        <v>11049287.619379323</v>
      </c>
      <c r="J52" s="594">
        <f t="shared" si="20"/>
        <v>4320410.7045600004</v>
      </c>
      <c r="K52" s="583"/>
      <c r="L52" s="583"/>
      <c r="M52" s="581"/>
      <c r="N52" s="581"/>
      <c r="O52" s="583"/>
      <c r="P52" s="581"/>
      <c r="Q52" s="581"/>
      <c r="R52" s="605"/>
      <c r="S52" s="605"/>
      <c r="T52" s="605"/>
      <c r="U52" s="605"/>
    </row>
    <row r="53" spans="2:21" hidden="1" x14ac:dyDescent="0.25">
      <c r="B53" s="576"/>
      <c r="C53" s="595" t="s">
        <v>65</v>
      </c>
      <c r="D53" s="596">
        <v>4.6900000000000004</v>
      </c>
      <c r="E53" s="597">
        <f>[1]Datos!K$23*FFM!D53%</f>
        <v>20283009.213600002</v>
      </c>
      <c r="F53" s="593">
        <f t="shared" si="18"/>
        <v>14198106.449520001</v>
      </c>
      <c r="G53" s="593">
        <f t="shared" si="16"/>
        <v>1791959.9125392274</v>
      </c>
      <c r="H53" s="593">
        <f t="shared" si="17"/>
        <v>22074969.126139231</v>
      </c>
      <c r="I53" s="593">
        <f t="shared" si="19"/>
        <v>15990066.362059228</v>
      </c>
      <c r="J53" s="594">
        <f t="shared" si="20"/>
        <v>6084902.7640800029</v>
      </c>
      <c r="K53" s="583"/>
      <c r="L53" s="583"/>
      <c r="M53" s="581"/>
      <c r="N53" s="581"/>
      <c r="O53" s="583"/>
      <c r="P53" s="581"/>
      <c r="Q53" s="581"/>
      <c r="R53" s="605"/>
      <c r="S53" s="605"/>
      <c r="T53" s="605"/>
      <c r="U53" s="605"/>
    </row>
    <row r="54" spans="2:21" hidden="1" x14ac:dyDescent="0.25">
      <c r="B54" s="576"/>
      <c r="C54" s="595" t="s">
        <v>66</v>
      </c>
      <c r="D54" s="596">
        <v>2.13</v>
      </c>
      <c r="E54" s="597">
        <f>[1]Datos!K$23*FFM!D54%</f>
        <v>9211686.4871999994</v>
      </c>
      <c r="F54" s="593">
        <f t="shared" si="18"/>
        <v>6448180.5410399996</v>
      </c>
      <c r="G54" s="593">
        <f t="shared" si="16"/>
        <v>353336.99398177606</v>
      </c>
      <c r="H54" s="593">
        <f t="shared" si="17"/>
        <v>9565023.4811817762</v>
      </c>
      <c r="I54" s="593">
        <f t="shared" si="19"/>
        <v>6801517.5350217754</v>
      </c>
      <c r="J54" s="594">
        <f t="shared" si="20"/>
        <v>2763505.9461600007</v>
      </c>
      <c r="K54" s="583"/>
      <c r="L54" s="583"/>
      <c r="M54" s="581"/>
      <c r="N54" s="581"/>
      <c r="O54" s="583"/>
      <c r="P54" s="581"/>
      <c r="Q54" s="581"/>
      <c r="R54" s="605"/>
      <c r="S54" s="605"/>
      <c r="T54" s="605"/>
      <c r="U54" s="605"/>
    </row>
    <row r="55" spans="2:21" hidden="1" x14ac:dyDescent="0.25">
      <c r="B55" s="576"/>
      <c r="C55" s="595" t="s">
        <v>67</v>
      </c>
      <c r="D55" s="596">
        <v>2.81</v>
      </c>
      <c r="E55" s="597">
        <f>[1]Datos!K$23*FFM!D55%</f>
        <v>12152506.5864</v>
      </c>
      <c r="F55" s="593">
        <f t="shared" si="18"/>
        <v>8506754.6104799993</v>
      </c>
      <c r="G55" s="593">
        <f t="shared" si="16"/>
        <v>1026979.5046635019</v>
      </c>
      <c r="H55" s="593">
        <f t="shared" si="17"/>
        <v>13179486.091063503</v>
      </c>
      <c r="I55" s="593">
        <f t="shared" si="19"/>
        <v>9533734.1151435003</v>
      </c>
      <c r="J55" s="594">
        <f t="shared" si="20"/>
        <v>3645751.9759200029</v>
      </c>
      <c r="K55" s="583"/>
      <c r="L55" s="583"/>
      <c r="M55" s="581"/>
      <c r="N55" s="581"/>
      <c r="O55" s="583"/>
      <c r="P55" s="581"/>
      <c r="Q55" s="581"/>
      <c r="R55" s="605"/>
      <c r="S55" s="605"/>
      <c r="T55" s="605"/>
      <c r="U55" s="605"/>
    </row>
    <row r="56" spans="2:21" hidden="1" x14ac:dyDescent="0.25">
      <c r="B56" s="576"/>
      <c r="C56" s="595" t="s">
        <v>68</v>
      </c>
      <c r="D56" s="596">
        <v>8.34</v>
      </c>
      <c r="E56" s="597">
        <f>[1]Datos!K$23*FFM!D56%</f>
        <v>36068293.569600001</v>
      </c>
      <c r="F56" s="593">
        <f t="shared" si="18"/>
        <v>25247805.498719998</v>
      </c>
      <c r="G56" s="593">
        <f t="shared" si="16"/>
        <v>4089682.1304682037</v>
      </c>
      <c r="H56" s="593">
        <f t="shared" si="17"/>
        <v>40157975.700068206</v>
      </c>
      <c r="I56" s="593">
        <f t="shared" si="19"/>
        <v>29337487.629188202</v>
      </c>
      <c r="J56" s="594">
        <f t="shared" si="20"/>
        <v>10820488.070880003</v>
      </c>
      <c r="K56" s="583"/>
      <c r="L56" s="583"/>
      <c r="M56" s="581"/>
      <c r="N56" s="581"/>
      <c r="O56" s="583"/>
      <c r="P56" s="581"/>
      <c r="Q56" s="581"/>
      <c r="R56" s="605"/>
      <c r="S56" s="605"/>
      <c r="T56" s="605"/>
      <c r="U56" s="605"/>
    </row>
    <row r="57" spans="2:21" hidden="1" x14ac:dyDescent="0.25">
      <c r="B57" s="576"/>
      <c r="C57" s="595" t="s">
        <v>69</v>
      </c>
      <c r="D57" s="596">
        <v>3.5</v>
      </c>
      <c r="E57" s="597">
        <f>[1]Datos!K$23*FFM!D57%</f>
        <v>15136574.040000001</v>
      </c>
      <c r="F57" s="593">
        <f t="shared" si="18"/>
        <v>10595601.828</v>
      </c>
      <c r="G57" s="593">
        <f t="shared" si="16"/>
        <v>1557719.7855838414</v>
      </c>
      <c r="H57" s="593">
        <f t="shared" si="17"/>
        <v>16694293.825583842</v>
      </c>
      <c r="I57" s="593">
        <f t="shared" si="19"/>
        <v>12153321.61358384</v>
      </c>
      <c r="J57" s="594">
        <f t="shared" si="20"/>
        <v>4540972.2120000012</v>
      </c>
      <c r="K57" s="583"/>
      <c r="L57" s="583"/>
      <c r="M57" s="581"/>
      <c r="N57" s="581"/>
      <c r="O57" s="583"/>
      <c r="P57" s="581"/>
      <c r="Q57" s="581"/>
      <c r="R57" s="605"/>
      <c r="S57" s="605"/>
      <c r="T57" s="605"/>
      <c r="U57" s="605"/>
    </row>
    <row r="58" spans="2:21" hidden="1" x14ac:dyDescent="0.25">
      <c r="B58" s="576"/>
      <c r="C58" s="595" t="s">
        <v>70</v>
      </c>
      <c r="D58" s="596">
        <v>39</v>
      </c>
      <c r="E58" s="597">
        <f>[1]Datos!K$23*FFM!D58%</f>
        <v>168664682.16</v>
      </c>
      <c r="F58" s="593">
        <f t="shared" si="18"/>
        <v>118065277.51199999</v>
      </c>
      <c r="G58" s="593">
        <f t="shared" si="16"/>
        <v>31755049.985644042</v>
      </c>
      <c r="H58" s="593">
        <f t="shared" si="17"/>
        <v>200419732.14564404</v>
      </c>
      <c r="I58" s="593">
        <f t="shared" si="19"/>
        <v>149820327.49764404</v>
      </c>
      <c r="J58" s="594">
        <f t="shared" si="20"/>
        <v>50599404.648000002</v>
      </c>
      <c r="K58" s="583"/>
      <c r="L58" s="583"/>
      <c r="M58" s="581"/>
      <c r="N58" s="581"/>
      <c r="O58" s="583"/>
      <c r="P58" s="581"/>
      <c r="Q58" s="581"/>
      <c r="R58" s="605"/>
      <c r="S58" s="605"/>
      <c r="T58" s="605"/>
      <c r="U58" s="605"/>
    </row>
    <row r="59" spans="2:21" hidden="1" x14ac:dyDescent="0.25">
      <c r="B59" s="576"/>
      <c r="C59" s="595" t="s">
        <v>71</v>
      </c>
      <c r="D59" s="596">
        <v>3.79</v>
      </c>
      <c r="E59" s="597">
        <f>[1]Datos!K$23*FFM!D59%</f>
        <v>16390747.317600001</v>
      </c>
      <c r="F59" s="593">
        <f t="shared" si="18"/>
        <v>11473523.12232</v>
      </c>
      <c r="G59" s="593">
        <f t="shared" si="16"/>
        <v>1113011.2601126151</v>
      </c>
      <c r="H59" s="593">
        <f t="shared" si="17"/>
        <v>17503758.577712614</v>
      </c>
      <c r="I59" s="593">
        <f t="shared" si="19"/>
        <v>12586534.382432615</v>
      </c>
      <c r="J59" s="594">
        <f t="shared" si="20"/>
        <v>4917224.1952799987</v>
      </c>
      <c r="K59" s="583"/>
      <c r="L59" s="583"/>
      <c r="M59" s="581"/>
      <c r="N59" s="581"/>
      <c r="O59" s="583"/>
      <c r="P59" s="581"/>
      <c r="Q59" s="581"/>
      <c r="R59" s="605"/>
      <c r="S59" s="605"/>
      <c r="T59" s="605"/>
      <c r="U59" s="605"/>
    </row>
    <row r="60" spans="2:21" hidden="1" x14ac:dyDescent="0.25">
      <c r="B60" s="576"/>
      <c r="C60" s="595" t="s">
        <v>72</v>
      </c>
      <c r="D60" s="596">
        <v>3.1</v>
      </c>
      <c r="E60" s="597">
        <f>[1]Datos!K$23*FFM!D60%</f>
        <v>13406679.864</v>
      </c>
      <c r="F60" s="593">
        <f t="shared" si="18"/>
        <v>9384675.9047999997</v>
      </c>
      <c r="G60" s="593">
        <f t="shared" si="16"/>
        <v>3278456.6895857356</v>
      </c>
      <c r="H60" s="593">
        <f t="shared" si="17"/>
        <v>16685136.553585736</v>
      </c>
      <c r="I60" s="593">
        <f t="shared" si="19"/>
        <v>12663132.594385736</v>
      </c>
      <c r="J60" s="594">
        <f t="shared" si="20"/>
        <v>4022003.9592000004</v>
      </c>
      <c r="K60" s="583"/>
      <c r="L60" s="583"/>
      <c r="M60" s="581"/>
      <c r="N60" s="581"/>
      <c r="O60" s="583"/>
      <c r="P60" s="581"/>
      <c r="Q60" s="581"/>
      <c r="R60" s="605"/>
      <c r="S60" s="605"/>
      <c r="T60" s="605"/>
      <c r="U60" s="605"/>
    </row>
    <row r="61" spans="2:21" hidden="1" x14ac:dyDescent="0.25">
      <c r="B61" s="576"/>
      <c r="C61" s="598" t="s">
        <v>73</v>
      </c>
      <c r="D61" s="599">
        <f>SUM(D41:D60)</f>
        <v>100</v>
      </c>
      <c r="E61" s="600">
        <f>SUM(E41:E60)</f>
        <v>432473544.00000006</v>
      </c>
      <c r="F61" s="600">
        <f t="shared" si="18"/>
        <v>302731480.80000001</v>
      </c>
      <c r="G61" s="600">
        <f t="shared" si="16"/>
        <v>78208519.199999988</v>
      </c>
      <c r="H61" s="600">
        <f t="shared" si="17"/>
        <v>510682063.20000005</v>
      </c>
      <c r="I61" s="600">
        <f>SUM(I41:I60)</f>
        <v>380940000.00000006</v>
      </c>
      <c r="J61" s="601">
        <v>0</v>
      </c>
      <c r="K61" s="583"/>
      <c r="L61" s="583"/>
      <c r="M61" s="581"/>
      <c r="N61" s="581"/>
      <c r="O61" s="583"/>
      <c r="P61" s="581"/>
      <c r="Q61" s="581"/>
      <c r="R61" s="605"/>
      <c r="S61" s="605"/>
      <c r="T61" s="605"/>
      <c r="U61" s="605"/>
    </row>
    <row r="62" spans="2:21" x14ac:dyDescent="0.25">
      <c r="B62" s="576"/>
      <c r="C62" s="715" t="s">
        <v>385</v>
      </c>
      <c r="D62" s="715"/>
      <c r="E62" s="715"/>
      <c r="F62" s="715"/>
      <c r="G62" s="715"/>
      <c r="H62" s="715"/>
      <c r="I62" s="715"/>
      <c r="J62" s="715"/>
      <c r="K62" s="715"/>
      <c r="L62" s="715"/>
      <c r="M62" s="715"/>
      <c r="N62" s="715"/>
      <c r="O62" s="715"/>
      <c r="P62" s="715"/>
      <c r="Q62" s="715"/>
      <c r="R62" s="715"/>
      <c r="S62" s="715"/>
      <c r="T62" s="715"/>
      <c r="U62" s="715"/>
    </row>
    <row r="63" spans="2:21" x14ac:dyDescent="0.25">
      <c r="B63" s="576"/>
      <c r="C63" s="716" t="s">
        <v>386</v>
      </c>
      <c r="D63" s="716"/>
      <c r="E63" s="716"/>
      <c r="F63" s="716"/>
      <c r="G63" s="716"/>
      <c r="H63" s="716"/>
      <c r="I63" s="716"/>
      <c r="J63" s="716"/>
      <c r="K63" s="716"/>
      <c r="L63" s="716"/>
      <c r="M63" s="716"/>
      <c r="N63" s="716"/>
      <c r="O63" s="716"/>
      <c r="P63" s="716"/>
      <c r="Q63" s="716"/>
      <c r="R63" s="716"/>
      <c r="S63" s="716"/>
      <c r="T63" s="716"/>
      <c r="U63" s="716"/>
    </row>
    <row r="64" spans="2:21" x14ac:dyDescent="0.25">
      <c r="B64" s="576"/>
      <c r="C64" s="581"/>
      <c r="D64" s="582"/>
      <c r="E64" s="581"/>
      <c r="F64" s="581"/>
      <c r="G64" s="581"/>
      <c r="H64" s="583"/>
      <c r="I64" s="581"/>
      <c r="J64" s="581"/>
      <c r="K64" s="583"/>
      <c r="L64" s="583"/>
      <c r="M64" s="581"/>
      <c r="N64" s="581"/>
      <c r="O64" s="583"/>
      <c r="P64" s="581"/>
      <c r="Q64" s="581"/>
    </row>
    <row r="65" spans="2:17" x14ac:dyDescent="0.25">
      <c r="B65" s="576"/>
      <c r="C65" s="581"/>
      <c r="D65" s="582"/>
      <c r="E65" s="581"/>
      <c r="F65" s="581"/>
      <c r="G65" s="581"/>
      <c r="H65" s="583"/>
      <c r="I65" s="581"/>
      <c r="J65" s="581"/>
      <c r="K65" s="583"/>
      <c r="L65" s="583"/>
      <c r="M65" s="581"/>
      <c r="N65" s="581"/>
      <c r="O65" s="583"/>
      <c r="P65" s="581"/>
      <c r="Q65" s="581"/>
    </row>
    <row r="66" spans="2:17" x14ac:dyDescent="0.25">
      <c r="B66" s="576"/>
      <c r="C66" s="575"/>
      <c r="D66" s="577"/>
      <c r="E66" s="575"/>
      <c r="F66" s="575"/>
      <c r="G66" s="575"/>
      <c r="H66" s="574"/>
      <c r="I66" s="575"/>
      <c r="J66" s="575"/>
      <c r="K66" s="574"/>
      <c r="L66" s="574"/>
      <c r="M66" s="575"/>
      <c r="N66" s="575"/>
      <c r="O66" s="574"/>
      <c r="P66" s="575"/>
      <c r="Q66" s="575"/>
    </row>
    <row r="67" spans="2:17" x14ac:dyDescent="0.25">
      <c r="B67" s="576"/>
      <c r="C67" s="575"/>
      <c r="D67" s="577"/>
      <c r="E67" s="575"/>
      <c r="F67" s="575"/>
      <c r="G67" s="575"/>
      <c r="H67" s="574"/>
      <c r="I67" s="575"/>
      <c r="J67" s="575"/>
      <c r="K67" s="574"/>
      <c r="L67" s="574"/>
      <c r="M67" s="575"/>
      <c r="N67" s="575"/>
      <c r="O67" s="574"/>
      <c r="P67" s="575"/>
      <c r="Q67" s="575"/>
    </row>
  </sheetData>
  <mergeCells count="25">
    <mergeCell ref="B2:Q2"/>
    <mergeCell ref="B1:Q1"/>
    <mergeCell ref="B3:Q3"/>
    <mergeCell ref="B5:B9"/>
    <mergeCell ref="Q5:Q8"/>
    <mergeCell ref="I7:J7"/>
    <mergeCell ref="M7:N7"/>
    <mergeCell ref="L6:L8"/>
    <mergeCell ref="M6:N6"/>
    <mergeCell ref="C62:U62"/>
    <mergeCell ref="C63:U63"/>
    <mergeCell ref="C37:C40"/>
    <mergeCell ref="C5:C9"/>
    <mergeCell ref="D5:E5"/>
    <mergeCell ref="F5:H5"/>
    <mergeCell ref="I6:J6"/>
    <mergeCell ref="D6:D8"/>
    <mergeCell ref="E6:E8"/>
    <mergeCell ref="I5:L5"/>
    <mergeCell ref="B30:C30"/>
    <mergeCell ref="B31:Q31"/>
    <mergeCell ref="C33:Q33"/>
    <mergeCell ref="C34:U34"/>
    <mergeCell ref="C35:U35"/>
    <mergeCell ref="M5:O5"/>
  </mergeCells>
  <pageMargins left="0.70866141732283472" right="0.70866141732283472" top="0.74803149606299213" bottom="0.74803149606299213" header="0.31496062992125984" footer="0.31496062992125984"/>
  <pageSetup paperSize="5"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2"/>
  <sheetViews>
    <sheetView workbookViewId="0">
      <selection activeCell="L16" sqref="L16"/>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2" customWidth="1"/>
    <col min="6" max="6" width="14.28515625" style="151" customWidth="1"/>
    <col min="7" max="7" width="15.42578125" style="151" customWidth="1"/>
    <col min="8" max="8" width="18.42578125" customWidth="1"/>
    <col min="9" max="9" width="19" customWidth="1"/>
    <col min="10" max="10" width="12.85546875" customWidth="1"/>
  </cols>
  <sheetData>
    <row r="2" spans="2:8" ht="15" customHeight="1" x14ac:dyDescent="0.25">
      <c r="B2" s="754" t="s">
        <v>335</v>
      </c>
      <c r="C2" s="754"/>
      <c r="D2" s="754"/>
      <c r="E2" s="754"/>
      <c r="F2" s="754"/>
      <c r="G2" s="754"/>
    </row>
    <row r="3" spans="2:8" ht="15" customHeight="1" x14ac:dyDescent="0.25">
      <c r="B3" s="754"/>
      <c r="C3" s="754"/>
      <c r="D3" s="754"/>
      <c r="E3" s="754"/>
      <c r="F3" s="754"/>
      <c r="G3" s="754"/>
    </row>
    <row r="4" spans="2:8" x14ac:dyDescent="0.25">
      <c r="B4" s="759" t="s">
        <v>332</v>
      </c>
      <c r="C4" s="759"/>
      <c r="D4" s="759"/>
      <c r="E4" s="759"/>
      <c r="F4" s="759"/>
      <c r="G4" s="759"/>
    </row>
    <row r="5" spans="2:8" ht="15.75" thickBot="1" x14ac:dyDescent="0.3"/>
    <row r="6" spans="2:8" ht="30" customHeight="1" x14ac:dyDescent="0.25">
      <c r="B6" s="755" t="s">
        <v>93</v>
      </c>
      <c r="C6" s="757" t="s">
        <v>292</v>
      </c>
      <c r="D6" s="757" t="s">
        <v>233</v>
      </c>
      <c r="E6" s="760" t="s">
        <v>376</v>
      </c>
      <c r="F6" s="762" t="s">
        <v>291</v>
      </c>
      <c r="G6" s="764" t="s">
        <v>293</v>
      </c>
    </row>
    <row r="7" spans="2:8" x14ac:dyDescent="0.25">
      <c r="B7" s="756"/>
      <c r="C7" s="758"/>
      <c r="D7" s="758"/>
      <c r="E7" s="761"/>
      <c r="F7" s="763"/>
      <c r="G7" s="765"/>
    </row>
    <row r="8" spans="2:8" x14ac:dyDescent="0.25">
      <c r="B8" s="756"/>
      <c r="C8" s="758"/>
      <c r="D8" s="758"/>
      <c r="E8" s="761"/>
      <c r="F8" s="763"/>
      <c r="G8" s="765"/>
    </row>
    <row r="9" spans="2:8" ht="15.75" thickBot="1" x14ac:dyDescent="0.3">
      <c r="B9" s="756"/>
      <c r="C9" s="142" t="s">
        <v>80</v>
      </c>
      <c r="D9" s="393" t="s">
        <v>107</v>
      </c>
      <c r="E9" s="632" t="s">
        <v>81</v>
      </c>
      <c r="F9" s="619" t="s">
        <v>108</v>
      </c>
      <c r="G9" s="620" t="s">
        <v>387</v>
      </c>
    </row>
    <row r="10" spans="2:8" x14ac:dyDescent="0.25">
      <c r="B10" s="440" t="s">
        <v>53</v>
      </c>
      <c r="C10" s="441">
        <v>3.94</v>
      </c>
      <c r="D10" s="442">
        <f>$D$30*C10/100</f>
        <v>812034</v>
      </c>
      <c r="E10" s="443">
        <v>0.05</v>
      </c>
      <c r="F10" s="444">
        <f>$F$30*E10</f>
        <v>578250</v>
      </c>
      <c r="G10" s="523">
        <f t="shared" ref="G10:G29" si="0">D10+F10</f>
        <v>1390284</v>
      </c>
      <c r="H10" s="153"/>
    </row>
    <row r="11" spans="2:8" x14ac:dyDescent="0.25">
      <c r="B11" s="445" t="s">
        <v>54</v>
      </c>
      <c r="C11" s="446">
        <v>5.78</v>
      </c>
      <c r="D11" s="442">
        <f t="shared" ref="D11:D29" si="1">$D$30*C11/100</f>
        <v>1191258</v>
      </c>
      <c r="E11" s="447">
        <v>0.05</v>
      </c>
      <c r="F11" s="444">
        <f t="shared" ref="F11:F29" si="2">$F$30*E11</f>
        <v>578250</v>
      </c>
      <c r="G11" s="524">
        <f t="shared" si="0"/>
        <v>1769508</v>
      </c>
      <c r="H11" s="153"/>
    </row>
    <row r="12" spans="2:8" x14ac:dyDescent="0.25">
      <c r="B12" s="445" t="s">
        <v>55</v>
      </c>
      <c r="C12" s="446">
        <v>6.12</v>
      </c>
      <c r="D12" s="442">
        <f t="shared" si="1"/>
        <v>1261332</v>
      </c>
      <c r="E12" s="447">
        <v>0.05</v>
      </c>
      <c r="F12" s="444">
        <f t="shared" si="2"/>
        <v>578250</v>
      </c>
      <c r="G12" s="524">
        <f t="shared" si="0"/>
        <v>1839582</v>
      </c>
      <c r="H12" s="153"/>
    </row>
    <row r="13" spans="2:8" x14ac:dyDescent="0.25">
      <c r="B13" s="445" t="s">
        <v>56</v>
      </c>
      <c r="C13" s="446">
        <v>5.08</v>
      </c>
      <c r="D13" s="442">
        <f t="shared" si="1"/>
        <v>1046988</v>
      </c>
      <c r="E13" s="447">
        <v>0.05</v>
      </c>
      <c r="F13" s="444">
        <f t="shared" si="2"/>
        <v>578250</v>
      </c>
      <c r="G13" s="524">
        <f t="shared" si="0"/>
        <v>1625238</v>
      </c>
      <c r="H13" s="153"/>
    </row>
    <row r="14" spans="2:8" x14ac:dyDescent="0.25">
      <c r="B14" s="445" t="s">
        <v>57</v>
      </c>
      <c r="C14" s="446">
        <v>3.07</v>
      </c>
      <c r="D14" s="442">
        <f t="shared" si="1"/>
        <v>632727</v>
      </c>
      <c r="E14" s="447">
        <v>0.05</v>
      </c>
      <c r="F14" s="444">
        <f t="shared" si="2"/>
        <v>578250</v>
      </c>
      <c r="G14" s="524">
        <f t="shared" si="0"/>
        <v>1210977</v>
      </c>
      <c r="H14" s="153"/>
    </row>
    <row r="15" spans="2:8" x14ac:dyDescent="0.25">
      <c r="B15" s="445" t="s">
        <v>58</v>
      </c>
      <c r="C15" s="446">
        <v>9.51</v>
      </c>
      <c r="D15" s="442">
        <f t="shared" si="1"/>
        <v>1960011</v>
      </c>
      <c r="E15" s="447">
        <v>0.05</v>
      </c>
      <c r="F15" s="444">
        <f t="shared" si="2"/>
        <v>578250</v>
      </c>
      <c r="G15" s="524">
        <f t="shared" si="0"/>
        <v>2538261</v>
      </c>
      <c r="H15" s="153"/>
    </row>
    <row r="16" spans="2:8" x14ac:dyDescent="0.25">
      <c r="B16" s="445" t="s">
        <v>59</v>
      </c>
      <c r="C16" s="446">
        <v>9.33</v>
      </c>
      <c r="D16" s="442">
        <f t="shared" si="1"/>
        <v>1922913</v>
      </c>
      <c r="E16" s="447">
        <v>0.05</v>
      </c>
      <c r="F16" s="444">
        <f t="shared" si="2"/>
        <v>578250</v>
      </c>
      <c r="G16" s="524">
        <f t="shared" si="0"/>
        <v>2501163</v>
      </c>
      <c r="H16" s="153"/>
    </row>
    <row r="17" spans="2:20" x14ac:dyDescent="0.25">
      <c r="B17" s="445" t="s">
        <v>60</v>
      </c>
      <c r="C17" s="446">
        <v>4.5199999999999996</v>
      </c>
      <c r="D17" s="442">
        <f t="shared" si="1"/>
        <v>931571.99999999988</v>
      </c>
      <c r="E17" s="447">
        <v>0.05</v>
      </c>
      <c r="F17" s="444">
        <f t="shared" si="2"/>
        <v>578250</v>
      </c>
      <c r="G17" s="524">
        <f t="shared" si="0"/>
        <v>1509822</v>
      </c>
      <c r="H17" s="153"/>
    </row>
    <row r="18" spans="2:20" x14ac:dyDescent="0.25">
      <c r="B18" s="445" t="s">
        <v>61</v>
      </c>
      <c r="C18" s="446">
        <v>5.08</v>
      </c>
      <c r="D18" s="442">
        <f t="shared" si="1"/>
        <v>1046988</v>
      </c>
      <c r="E18" s="447">
        <v>0.05</v>
      </c>
      <c r="F18" s="444">
        <f t="shared" si="2"/>
        <v>578250</v>
      </c>
      <c r="G18" s="524">
        <f t="shared" si="0"/>
        <v>1625238</v>
      </c>
      <c r="H18" s="153"/>
    </row>
    <row r="19" spans="2:20" x14ac:dyDescent="0.25">
      <c r="B19" s="445" t="s">
        <v>62</v>
      </c>
      <c r="C19" s="446">
        <v>8.92</v>
      </c>
      <c r="D19" s="442">
        <f t="shared" si="1"/>
        <v>1838412</v>
      </c>
      <c r="E19" s="447">
        <v>0.05</v>
      </c>
      <c r="F19" s="444">
        <f t="shared" si="2"/>
        <v>578250</v>
      </c>
      <c r="G19" s="524">
        <f t="shared" si="0"/>
        <v>2416662</v>
      </c>
      <c r="H19" s="153"/>
    </row>
    <row r="20" spans="2:20" x14ac:dyDescent="0.25">
      <c r="B20" s="445" t="s">
        <v>63</v>
      </c>
      <c r="C20" s="446">
        <v>5.0199999999999996</v>
      </c>
      <c r="D20" s="442">
        <f t="shared" si="1"/>
        <v>1034621.9999999999</v>
      </c>
      <c r="E20" s="447">
        <v>0.05</v>
      </c>
      <c r="F20" s="444">
        <f t="shared" si="2"/>
        <v>578250</v>
      </c>
      <c r="G20" s="524">
        <f t="shared" si="0"/>
        <v>1612872</v>
      </c>
      <c r="H20" s="153"/>
    </row>
    <row r="21" spans="2:20" x14ac:dyDescent="0.25">
      <c r="B21" s="445" t="s">
        <v>64</v>
      </c>
      <c r="C21" s="446">
        <v>4.29</v>
      </c>
      <c r="D21" s="442">
        <f t="shared" si="1"/>
        <v>884169</v>
      </c>
      <c r="E21" s="447">
        <v>0.05</v>
      </c>
      <c r="F21" s="444">
        <f t="shared" si="2"/>
        <v>578250</v>
      </c>
      <c r="G21" s="524">
        <f t="shared" si="0"/>
        <v>1462419</v>
      </c>
      <c r="H21" s="153"/>
    </row>
    <row r="22" spans="2:20" x14ac:dyDescent="0.25">
      <c r="B22" s="445" t="s">
        <v>65</v>
      </c>
      <c r="C22" s="446">
        <v>3.04</v>
      </c>
      <c r="D22" s="442">
        <f t="shared" si="1"/>
        <v>626544</v>
      </c>
      <c r="E22" s="447">
        <v>0.05</v>
      </c>
      <c r="F22" s="444">
        <f t="shared" si="2"/>
        <v>578250</v>
      </c>
      <c r="G22" s="524">
        <f t="shared" si="0"/>
        <v>1204794</v>
      </c>
      <c r="H22" s="153"/>
    </row>
    <row r="23" spans="2:20" x14ac:dyDescent="0.25">
      <c r="B23" s="445" t="s">
        <v>66</v>
      </c>
      <c r="C23" s="446">
        <v>6.7</v>
      </c>
      <c r="D23" s="442">
        <f t="shared" si="1"/>
        <v>1380870</v>
      </c>
      <c r="E23" s="447">
        <v>0.05</v>
      </c>
      <c r="F23" s="444">
        <f t="shared" si="2"/>
        <v>578250</v>
      </c>
      <c r="G23" s="524">
        <f t="shared" si="0"/>
        <v>1959120</v>
      </c>
      <c r="H23" s="153"/>
    </row>
    <row r="24" spans="2:20" x14ac:dyDescent="0.25">
      <c r="B24" s="445" t="s">
        <v>67</v>
      </c>
      <c r="C24" s="446">
        <v>5.08</v>
      </c>
      <c r="D24" s="442">
        <f t="shared" si="1"/>
        <v>1046988</v>
      </c>
      <c r="E24" s="447">
        <v>0.05</v>
      </c>
      <c r="F24" s="444">
        <f t="shared" si="2"/>
        <v>578250</v>
      </c>
      <c r="G24" s="524">
        <f t="shared" si="0"/>
        <v>1625238</v>
      </c>
      <c r="H24" s="153"/>
    </row>
    <row r="25" spans="2:20" x14ac:dyDescent="0.25">
      <c r="B25" s="445" t="s">
        <v>68</v>
      </c>
      <c r="C25" s="446">
        <v>1.7</v>
      </c>
      <c r="D25" s="442">
        <f t="shared" si="1"/>
        <v>350370</v>
      </c>
      <c r="E25" s="447">
        <v>0.05</v>
      </c>
      <c r="F25" s="444">
        <f t="shared" si="2"/>
        <v>578250</v>
      </c>
      <c r="G25" s="524">
        <f t="shared" si="0"/>
        <v>928620</v>
      </c>
      <c r="H25" s="153"/>
    </row>
    <row r="26" spans="2:20" x14ac:dyDescent="0.25">
      <c r="B26" s="445" t="s">
        <v>69</v>
      </c>
      <c r="C26" s="446">
        <v>4.08</v>
      </c>
      <c r="D26" s="442">
        <f t="shared" si="1"/>
        <v>840888</v>
      </c>
      <c r="E26" s="447">
        <v>0.05</v>
      </c>
      <c r="F26" s="444">
        <f t="shared" si="2"/>
        <v>578250</v>
      </c>
      <c r="G26" s="524">
        <f t="shared" si="0"/>
        <v>1419138</v>
      </c>
      <c r="H26" s="153"/>
    </row>
    <row r="27" spans="2:20" x14ac:dyDescent="0.25">
      <c r="B27" s="445" t="s">
        <v>70</v>
      </c>
      <c r="C27" s="446">
        <v>0.37</v>
      </c>
      <c r="D27" s="442">
        <f t="shared" si="1"/>
        <v>76257</v>
      </c>
      <c r="E27" s="447">
        <v>0.05</v>
      </c>
      <c r="F27" s="444">
        <f t="shared" si="2"/>
        <v>578250</v>
      </c>
      <c r="G27" s="524">
        <f t="shared" si="0"/>
        <v>654507</v>
      </c>
      <c r="H27" s="153"/>
    </row>
    <row r="28" spans="2:20" x14ac:dyDescent="0.25">
      <c r="B28" s="445" t="s">
        <v>71</v>
      </c>
      <c r="C28" s="446">
        <v>3.77</v>
      </c>
      <c r="D28" s="442">
        <f t="shared" si="1"/>
        <v>776997</v>
      </c>
      <c r="E28" s="447">
        <v>0.05</v>
      </c>
      <c r="F28" s="444">
        <f t="shared" si="2"/>
        <v>578250</v>
      </c>
      <c r="G28" s="524">
        <f t="shared" si="0"/>
        <v>1355247</v>
      </c>
      <c r="H28" s="153"/>
    </row>
    <row r="29" spans="2:20" ht="15.75" thickBot="1" x14ac:dyDescent="0.3">
      <c r="B29" s="448" t="s">
        <v>72</v>
      </c>
      <c r="C29" s="449">
        <v>4.5999999999999996</v>
      </c>
      <c r="D29" s="450">
        <f t="shared" si="1"/>
        <v>948060</v>
      </c>
      <c r="E29" s="451">
        <v>0.05</v>
      </c>
      <c r="F29" s="444">
        <f t="shared" si="2"/>
        <v>578250</v>
      </c>
      <c r="G29" s="524">
        <f t="shared" si="0"/>
        <v>1526310</v>
      </c>
      <c r="H29" s="153"/>
    </row>
    <row r="30" spans="2:20" ht="15.75" thickBot="1" x14ac:dyDescent="0.3">
      <c r="B30" s="363" t="s">
        <v>73</v>
      </c>
      <c r="C30" s="452">
        <f t="shared" ref="C30:G30" si="3">SUM(C10:C29)</f>
        <v>100</v>
      </c>
      <c r="D30" s="365">
        <f>Datos!K49</f>
        <v>20610000</v>
      </c>
      <c r="E30" s="386">
        <v>100</v>
      </c>
      <c r="F30" s="453">
        <f>Datos!K50</f>
        <v>11565000</v>
      </c>
      <c r="G30" s="454">
        <f t="shared" si="3"/>
        <v>32175000</v>
      </c>
      <c r="H30" s="607"/>
      <c r="I30" s="159"/>
      <c r="J30" s="159"/>
      <c r="K30" s="159"/>
      <c r="L30" s="159"/>
      <c r="M30" s="159"/>
      <c r="N30" s="159"/>
      <c r="O30" s="159"/>
      <c r="P30" s="159"/>
      <c r="Q30" s="159"/>
    </row>
    <row r="31" spans="2:20" x14ac:dyDescent="0.25">
      <c r="B31" s="736" t="s">
        <v>378</v>
      </c>
      <c r="C31" s="736"/>
      <c r="D31" s="736"/>
      <c r="E31" s="736"/>
      <c r="F31" s="736"/>
      <c r="G31" s="736"/>
      <c r="H31" s="606"/>
      <c r="I31" s="606"/>
      <c r="J31" s="606"/>
      <c r="K31" s="606"/>
      <c r="L31" s="606"/>
      <c r="M31" s="606"/>
      <c r="N31" s="606"/>
      <c r="O31" s="606"/>
      <c r="P31" s="606"/>
      <c r="Q31" s="606"/>
    </row>
    <row r="32" spans="2:20" s="625" customFormat="1" ht="28.5" customHeight="1" x14ac:dyDescent="0.25">
      <c r="B32" s="684" t="s">
        <v>383</v>
      </c>
      <c r="C32" s="684"/>
      <c r="D32" s="684"/>
      <c r="E32" s="684"/>
      <c r="F32" s="684"/>
      <c r="G32" s="684"/>
      <c r="H32" s="617"/>
      <c r="I32" s="617"/>
      <c r="J32" s="617"/>
      <c r="K32" s="617"/>
      <c r="L32" s="617"/>
      <c r="M32" s="617"/>
      <c r="N32" s="617"/>
      <c r="O32" s="617"/>
      <c r="P32" s="617"/>
      <c r="Q32" s="617"/>
      <c r="R32" s="617"/>
      <c r="S32" s="617"/>
      <c r="T32" s="617"/>
    </row>
  </sheetData>
  <mergeCells count="10">
    <mergeCell ref="B32:G32"/>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workbookViewId="0">
      <selection activeCell="G14" sqref="G14"/>
    </sheetView>
  </sheetViews>
  <sheetFormatPr baseColWidth="10" defaultColWidth="11.42578125" defaultRowHeight="14.25" x14ac:dyDescent="0.2"/>
  <cols>
    <col min="1" max="1" width="3.5703125" style="11" customWidth="1"/>
    <col min="2" max="2" width="20.42578125" style="11" customWidth="1"/>
    <col min="3" max="3" width="13.28515625" style="11" bestFit="1" customWidth="1"/>
    <col min="4" max="4" width="12.140625" style="11" bestFit="1" customWidth="1"/>
    <col min="5" max="5" width="10.140625" style="11" bestFit="1" customWidth="1"/>
    <col min="6" max="6" width="12.42578125" style="11" bestFit="1" customWidth="1"/>
    <col min="7" max="7" width="13.7109375" style="11" customWidth="1"/>
    <col min="8" max="8" width="13.28515625" style="79" bestFit="1" customWidth="1"/>
    <col min="9" max="16384" width="11.42578125" style="11"/>
  </cols>
  <sheetData>
    <row r="1" spans="2:8" ht="18" x14ac:dyDescent="0.25">
      <c r="B1" s="769"/>
      <c r="C1" s="769"/>
      <c r="D1" s="769"/>
      <c r="E1" s="769"/>
      <c r="F1" s="769"/>
      <c r="G1" s="769"/>
      <c r="H1" s="769"/>
    </row>
    <row r="2" spans="2:8" ht="15" x14ac:dyDescent="0.25">
      <c r="B2" s="727" t="s">
        <v>397</v>
      </c>
      <c r="C2" s="727"/>
      <c r="D2" s="727"/>
      <c r="E2" s="727"/>
      <c r="F2" s="727"/>
      <c r="G2" s="727"/>
      <c r="H2" s="727"/>
    </row>
    <row r="3" spans="2:8" ht="15" customHeight="1" x14ac:dyDescent="0.25">
      <c r="B3" s="669" t="s">
        <v>332</v>
      </c>
      <c r="C3" s="669"/>
      <c r="D3" s="669"/>
      <c r="E3" s="669"/>
      <c r="F3" s="669"/>
      <c r="G3" s="669"/>
      <c r="H3" s="669"/>
    </row>
    <row r="4" spans="2:8" ht="15" thickBot="1" x14ac:dyDescent="0.25"/>
    <row r="5" spans="2:8" ht="30" customHeight="1" x14ac:dyDescent="0.25">
      <c r="B5" s="766" t="s">
        <v>93</v>
      </c>
      <c r="C5" s="455" t="s">
        <v>94</v>
      </c>
      <c r="D5" s="455" t="s">
        <v>28</v>
      </c>
      <c r="E5" s="767" t="s">
        <v>29</v>
      </c>
      <c r="F5" s="767"/>
      <c r="G5" s="767" t="s">
        <v>375</v>
      </c>
      <c r="H5" s="770" t="s">
        <v>374</v>
      </c>
    </row>
    <row r="6" spans="2:8" ht="15" x14ac:dyDescent="0.25">
      <c r="B6" s="655"/>
      <c r="C6" s="456" t="s">
        <v>99</v>
      </c>
      <c r="D6" s="456" t="s">
        <v>38</v>
      </c>
      <c r="E6" s="768">
        <v>2015</v>
      </c>
      <c r="F6" s="768"/>
      <c r="G6" s="772"/>
      <c r="H6" s="771"/>
    </row>
    <row r="7" spans="2:8" ht="15" x14ac:dyDescent="0.25">
      <c r="B7" s="655"/>
      <c r="C7" s="457">
        <v>2014</v>
      </c>
      <c r="D7" s="457" t="s">
        <v>44</v>
      </c>
      <c r="E7" s="456" t="s">
        <v>46</v>
      </c>
      <c r="F7" s="456" t="s">
        <v>45</v>
      </c>
      <c r="G7" s="772"/>
      <c r="H7" s="771"/>
    </row>
    <row r="8" spans="2:8" ht="15.75" thickBot="1" x14ac:dyDescent="0.3">
      <c r="B8" s="656"/>
      <c r="C8" s="458" t="s">
        <v>80</v>
      </c>
      <c r="D8" s="458" t="s">
        <v>107</v>
      </c>
      <c r="E8" s="457" t="s">
        <v>81</v>
      </c>
      <c r="F8" s="458" t="s">
        <v>108</v>
      </c>
      <c r="G8" s="458" t="s">
        <v>83</v>
      </c>
      <c r="H8" s="459" t="s">
        <v>388</v>
      </c>
    </row>
    <row r="9" spans="2:8" x14ac:dyDescent="0.2">
      <c r="B9" s="445" t="s">
        <v>53</v>
      </c>
      <c r="C9" s="446">
        <v>3.65</v>
      </c>
      <c r="D9" s="442">
        <v>1418873.625</v>
      </c>
      <c r="E9" s="460">
        <v>37309</v>
      </c>
      <c r="F9" s="461">
        <f>E9/$E$29*100</f>
        <v>3.1589687142796663</v>
      </c>
      <c r="G9" s="462">
        <f>Datos!K$55*'IEPS GyD '!F9/100</f>
        <v>457947.79708733753</v>
      </c>
      <c r="H9" s="463">
        <f>D9+G9</f>
        <v>1876821.4220873376</v>
      </c>
    </row>
    <row r="10" spans="2:8" x14ac:dyDescent="0.2">
      <c r="B10" s="445" t="s">
        <v>54</v>
      </c>
      <c r="C10" s="446">
        <v>1.49</v>
      </c>
      <c r="D10" s="442">
        <v>579211.42500000005</v>
      </c>
      <c r="E10" s="464">
        <v>15953</v>
      </c>
      <c r="F10" s="465">
        <f t="shared" ref="F10:F28" si="0">E10/$E$29*100</f>
        <v>1.3507472164599297</v>
      </c>
      <c r="G10" s="462">
        <f>Datos!K$55*'IEPS GyD '!F10/100</f>
        <v>195814.44710215487</v>
      </c>
      <c r="H10" s="463">
        <f t="shared" ref="H10:H28" si="1">D10+G10</f>
        <v>775025.87210215488</v>
      </c>
    </row>
    <row r="11" spans="2:8" x14ac:dyDescent="0.2">
      <c r="B11" s="445" t="s">
        <v>55</v>
      </c>
      <c r="C11" s="446">
        <v>1.0900000000000001</v>
      </c>
      <c r="D11" s="442">
        <v>423718.42499999999</v>
      </c>
      <c r="E11" s="464">
        <v>11851</v>
      </c>
      <c r="F11" s="465">
        <f t="shared" si="0"/>
        <v>1.0034291520257399</v>
      </c>
      <c r="G11" s="462">
        <f>Datos!K$55*'IEPS GyD '!F11/100</f>
        <v>145464.61559629143</v>
      </c>
      <c r="H11" s="463">
        <f t="shared" si="1"/>
        <v>569183.04059629142</v>
      </c>
    </row>
    <row r="12" spans="2:8" x14ac:dyDescent="0.2">
      <c r="B12" s="445" t="s">
        <v>56</v>
      </c>
      <c r="C12" s="446">
        <v>8.82</v>
      </c>
      <c r="D12" s="442">
        <v>3428620.65</v>
      </c>
      <c r="E12" s="464">
        <v>150250</v>
      </c>
      <c r="F12" s="465">
        <f t="shared" si="0"/>
        <v>12.721730663392744</v>
      </c>
      <c r="G12" s="462">
        <f>Datos!K$55*'IEPS GyD '!F12/100</f>
        <v>1844237.4899453875</v>
      </c>
      <c r="H12" s="463">
        <f t="shared" si="1"/>
        <v>5272858.1399453878</v>
      </c>
    </row>
    <row r="13" spans="2:8" x14ac:dyDescent="0.2">
      <c r="B13" s="445" t="s">
        <v>57</v>
      </c>
      <c r="C13" s="446">
        <v>6.63</v>
      </c>
      <c r="D13" s="442">
        <v>2577296.4750000001</v>
      </c>
      <c r="E13" s="464">
        <v>75520</v>
      </c>
      <c r="F13" s="465">
        <f t="shared" si="0"/>
        <v>6.3943101477498834</v>
      </c>
      <c r="G13" s="462">
        <f>Datos!K$55*'IEPS GyD '!F13/100</f>
        <v>926967.15634393122</v>
      </c>
      <c r="H13" s="463">
        <f t="shared" si="1"/>
        <v>3504263.6313439314</v>
      </c>
    </row>
    <row r="14" spans="2:8" x14ac:dyDescent="0.2">
      <c r="B14" s="445" t="s">
        <v>58</v>
      </c>
      <c r="C14" s="446">
        <v>3.22</v>
      </c>
      <c r="D14" s="442">
        <v>1251718.6500000001</v>
      </c>
      <c r="E14" s="464">
        <v>42514</v>
      </c>
      <c r="F14" s="465">
        <f t="shared" si="0"/>
        <v>3.5996782524025233</v>
      </c>
      <c r="G14" s="462">
        <f>Datos!K$55*'IEPS GyD '!F14/100</f>
        <v>521836.35705516278</v>
      </c>
      <c r="H14" s="463">
        <f t="shared" si="1"/>
        <v>1773555.0070551629</v>
      </c>
    </row>
    <row r="15" spans="2:8" x14ac:dyDescent="0.2">
      <c r="B15" s="445" t="s">
        <v>59</v>
      </c>
      <c r="C15" s="446">
        <v>1.1100000000000001</v>
      </c>
      <c r="D15" s="442">
        <v>431493.07500000001</v>
      </c>
      <c r="E15" s="464">
        <v>12614</v>
      </c>
      <c r="F15" s="465">
        <f t="shared" si="0"/>
        <v>1.0680326827822699</v>
      </c>
      <c r="G15" s="462">
        <f>Datos!K$55*'IEPS GyD '!F15/100</f>
        <v>154830.02794123872</v>
      </c>
      <c r="H15" s="463">
        <f t="shared" si="1"/>
        <v>586323.10294123879</v>
      </c>
    </row>
    <row r="16" spans="2:8" x14ac:dyDescent="0.2">
      <c r="B16" s="445" t="s">
        <v>60</v>
      </c>
      <c r="C16" s="446">
        <v>2.71</v>
      </c>
      <c r="D16" s="442">
        <v>1053465.075</v>
      </c>
      <c r="E16" s="464">
        <v>29416</v>
      </c>
      <c r="F16" s="465">
        <f t="shared" si="0"/>
        <v>2.4906650861521529</v>
      </c>
      <c r="G16" s="462">
        <f>Datos!K$55*'IEPS GyD '!F16/100</f>
        <v>361065.4908767622</v>
      </c>
      <c r="H16" s="463">
        <f t="shared" si="1"/>
        <v>1414530.5658767621</v>
      </c>
    </row>
    <row r="17" spans="2:16" x14ac:dyDescent="0.2">
      <c r="B17" s="445" t="s">
        <v>61</v>
      </c>
      <c r="C17" s="446">
        <v>1.69</v>
      </c>
      <c r="D17" s="442">
        <v>656957.92499999993</v>
      </c>
      <c r="E17" s="464">
        <v>18580</v>
      </c>
      <c r="F17" s="465">
        <f t="shared" si="0"/>
        <v>1.5731764108208799</v>
      </c>
      <c r="G17" s="462">
        <f>Datos!K$55*'IEPS GyD '!F17/100</f>
        <v>228059.4513356759</v>
      </c>
      <c r="H17" s="463">
        <f t="shared" si="1"/>
        <v>885017.37633567583</v>
      </c>
    </row>
    <row r="18" spans="2:16" x14ac:dyDescent="0.2">
      <c r="B18" s="445" t="s">
        <v>62</v>
      </c>
      <c r="C18" s="446">
        <v>1.27</v>
      </c>
      <c r="D18" s="442">
        <v>493690.27500000002</v>
      </c>
      <c r="E18" s="464">
        <v>14315</v>
      </c>
      <c r="F18" s="465">
        <f t="shared" si="0"/>
        <v>1.212057067863342</v>
      </c>
      <c r="G18" s="462">
        <f>Datos!K$55*'IEPS GyD '!F18/100</f>
        <v>175708.88298547905</v>
      </c>
      <c r="H18" s="463">
        <f t="shared" si="1"/>
        <v>669399.15798547911</v>
      </c>
    </row>
    <row r="19" spans="2:16" x14ac:dyDescent="0.2">
      <c r="B19" s="445" t="s">
        <v>63</v>
      </c>
      <c r="C19" s="446">
        <v>3.39</v>
      </c>
      <c r="D19" s="442">
        <v>1317803.175</v>
      </c>
      <c r="E19" s="464">
        <v>33901</v>
      </c>
      <c r="F19" s="465">
        <f t="shared" si="0"/>
        <v>2.8704119215951907</v>
      </c>
      <c r="G19" s="462">
        <f>Datos!K$55*'IEPS GyD '!F19/100</f>
        <v>416116.44024385081</v>
      </c>
      <c r="H19" s="463">
        <f t="shared" si="1"/>
        <v>1733919.6152438507</v>
      </c>
    </row>
    <row r="20" spans="2:16" x14ac:dyDescent="0.2">
      <c r="B20" s="445" t="s">
        <v>64</v>
      </c>
      <c r="C20" s="446">
        <v>2.21</v>
      </c>
      <c r="D20" s="442">
        <v>859098.82499999995</v>
      </c>
      <c r="E20" s="464">
        <v>24743</v>
      </c>
      <c r="F20" s="465">
        <f t="shared" si="0"/>
        <v>2.0950002116760511</v>
      </c>
      <c r="G20" s="462">
        <f>Datos!K$55*'IEPS GyD '!F20/100</f>
        <v>303706.9431861479</v>
      </c>
      <c r="H20" s="463">
        <f t="shared" si="1"/>
        <v>1162805.7681861478</v>
      </c>
    </row>
    <row r="21" spans="2:16" x14ac:dyDescent="0.2">
      <c r="B21" s="445" t="s">
        <v>65</v>
      </c>
      <c r="C21" s="446">
        <v>3.95</v>
      </c>
      <c r="D21" s="442">
        <v>1535493.375</v>
      </c>
      <c r="E21" s="464">
        <v>43979</v>
      </c>
      <c r="F21" s="465">
        <f t="shared" si="0"/>
        <v>3.7237204182718768</v>
      </c>
      <c r="G21" s="462">
        <f>Datos!K$55*'IEPS GyD '!F21/100</f>
        <v>539818.43973582832</v>
      </c>
      <c r="H21" s="463">
        <f t="shared" si="1"/>
        <v>2075311.8147358284</v>
      </c>
    </row>
    <row r="22" spans="2:16" x14ac:dyDescent="0.2">
      <c r="B22" s="445" t="s">
        <v>66</v>
      </c>
      <c r="C22" s="446">
        <v>0.75</v>
      </c>
      <c r="D22" s="442">
        <v>291549.375</v>
      </c>
      <c r="E22" s="464">
        <v>7499</v>
      </c>
      <c r="F22" s="465">
        <f t="shared" si="0"/>
        <v>0.63494348249439059</v>
      </c>
      <c r="G22" s="462">
        <f>Datos!K$55*'IEPS GyD '!F22/100</f>
        <v>92046.169298505556</v>
      </c>
      <c r="H22" s="463">
        <f t="shared" si="1"/>
        <v>383595.54429850553</v>
      </c>
    </row>
    <row r="23" spans="2:16" x14ac:dyDescent="0.2">
      <c r="B23" s="445" t="s">
        <v>67</v>
      </c>
      <c r="C23" s="446">
        <v>2.2799999999999998</v>
      </c>
      <c r="D23" s="442">
        <v>886310.09999999986</v>
      </c>
      <c r="E23" s="464">
        <v>23477</v>
      </c>
      <c r="F23" s="465">
        <f t="shared" si="0"/>
        <v>1.9878074594640365</v>
      </c>
      <c r="G23" s="462">
        <f>Datos!K$55*'IEPS GyD '!F23/100</f>
        <v>288167.4778798527</v>
      </c>
      <c r="H23" s="463">
        <f t="shared" si="1"/>
        <v>1174477.5778798526</v>
      </c>
    </row>
    <row r="24" spans="2:16" x14ac:dyDescent="0.2">
      <c r="B24" s="445" t="s">
        <v>68</v>
      </c>
      <c r="C24" s="446">
        <v>8.8800000000000008</v>
      </c>
      <c r="D24" s="442">
        <v>3451944.6</v>
      </c>
      <c r="E24" s="464">
        <v>97820</v>
      </c>
      <c r="F24" s="465">
        <f t="shared" si="0"/>
        <v>8.2824605224164927</v>
      </c>
      <c r="G24" s="462">
        <f>Datos!K$55*'IEPS GyD '!F24/100</f>
        <v>1200687.5957834129</v>
      </c>
      <c r="H24" s="463">
        <f t="shared" si="1"/>
        <v>4652632.195783413</v>
      </c>
    </row>
    <row r="25" spans="2:16" x14ac:dyDescent="0.2">
      <c r="B25" s="445" t="s">
        <v>69</v>
      </c>
      <c r="C25" s="446">
        <v>3.92</v>
      </c>
      <c r="D25" s="442">
        <v>1523831.4000000001</v>
      </c>
      <c r="E25" s="464">
        <v>39718</v>
      </c>
      <c r="F25" s="465">
        <f t="shared" si="0"/>
        <v>3.3629397569958934</v>
      </c>
      <c r="G25" s="462">
        <f>Datos!K$55*'IEPS GyD '!F25/100</f>
        <v>487516.9692223022</v>
      </c>
      <c r="H25" s="463">
        <f t="shared" si="1"/>
        <v>2011348.3692223025</v>
      </c>
    </row>
    <row r="26" spans="2:16" x14ac:dyDescent="0.2">
      <c r="B26" s="445" t="s">
        <v>70</v>
      </c>
      <c r="C26" s="446">
        <v>35.42</v>
      </c>
      <c r="D26" s="442">
        <v>13768905.15</v>
      </c>
      <c r="E26" s="464">
        <v>413608</v>
      </c>
      <c r="F26" s="465">
        <f t="shared" si="0"/>
        <v>35.020363236103471</v>
      </c>
      <c r="G26" s="462">
        <f>Datos!K$55*'IEPS GyD '!F26/100</f>
        <v>5076814.5074298298</v>
      </c>
      <c r="H26" s="463">
        <f t="shared" si="1"/>
        <v>18845719.657429829</v>
      </c>
    </row>
    <row r="27" spans="2:16" x14ac:dyDescent="0.2">
      <c r="B27" s="445" t="s">
        <v>71</v>
      </c>
      <c r="C27" s="446">
        <v>3</v>
      </c>
      <c r="D27" s="442">
        <v>1166197.5</v>
      </c>
      <c r="E27" s="464">
        <v>30565</v>
      </c>
      <c r="F27" s="465">
        <f t="shared" si="0"/>
        <v>2.5879513991786967</v>
      </c>
      <c r="G27" s="462">
        <f>Datos!K$55*'IEPS GyD '!F27/100</f>
        <v>375168.84446043766</v>
      </c>
      <c r="H27" s="463">
        <f t="shared" si="1"/>
        <v>1541366.3444604375</v>
      </c>
    </row>
    <row r="28" spans="2:16" ht="15" thickBot="1" x14ac:dyDescent="0.25">
      <c r="B28" s="445" t="s">
        <v>72</v>
      </c>
      <c r="C28" s="446">
        <v>4.5199999999999996</v>
      </c>
      <c r="D28" s="442">
        <v>1757070.9</v>
      </c>
      <c r="E28" s="466">
        <v>57418</v>
      </c>
      <c r="F28" s="467">
        <f t="shared" si="0"/>
        <v>4.8616061978747727</v>
      </c>
      <c r="G28" s="462">
        <f>Datos!K$55*'IEPS GyD '!F28/100</f>
        <v>704774.89649041113</v>
      </c>
      <c r="H28" s="463">
        <f t="shared" si="1"/>
        <v>2461845.7964904113</v>
      </c>
    </row>
    <row r="29" spans="2:16" ht="15.75" thickBot="1" x14ac:dyDescent="0.3">
      <c r="B29" s="363" t="s">
        <v>73</v>
      </c>
      <c r="C29" s="452">
        <f>SUM(C9:C28)</f>
        <v>100.00000000000001</v>
      </c>
      <c r="D29" s="365">
        <f>SUM(D9:D28)</f>
        <v>38873250</v>
      </c>
      <c r="E29" s="468">
        <f>SUM(E9:E28)</f>
        <v>1181050</v>
      </c>
      <c r="F29" s="469">
        <f>SUM(F9:F28)</f>
        <v>100.00000000000001</v>
      </c>
      <c r="G29" s="470">
        <f>SUM(G9:G28)</f>
        <v>14496750.000000002</v>
      </c>
      <c r="H29" s="471">
        <f>D29+G29</f>
        <v>53370000</v>
      </c>
    </row>
    <row r="30" spans="2:16" ht="15" customHeight="1" x14ac:dyDescent="0.2">
      <c r="B30" s="773" t="s">
        <v>378</v>
      </c>
      <c r="C30" s="773"/>
      <c r="D30" s="773"/>
      <c r="E30" s="773"/>
      <c r="F30" s="773"/>
      <c r="G30" s="773"/>
      <c r="H30" s="773"/>
    </row>
    <row r="31" spans="2:16" x14ac:dyDescent="0.2">
      <c r="B31" s="603" t="s">
        <v>377</v>
      </c>
      <c r="C31" s="608"/>
      <c r="D31" s="609"/>
      <c r="E31" s="609"/>
      <c r="F31" s="609"/>
      <c r="G31" s="610"/>
      <c r="H31" s="609"/>
      <c r="I31" s="609"/>
      <c r="J31" s="611"/>
      <c r="K31" s="611"/>
      <c r="L31" s="612"/>
      <c r="M31" s="612"/>
      <c r="N31" s="613"/>
      <c r="O31" s="609"/>
      <c r="P31" s="609"/>
    </row>
    <row r="32" spans="2:16" ht="55.5" customHeight="1" x14ac:dyDescent="0.2">
      <c r="B32" s="737" t="s">
        <v>380</v>
      </c>
      <c r="C32" s="737"/>
      <c r="D32" s="737"/>
      <c r="E32" s="737"/>
      <c r="F32" s="737"/>
      <c r="G32" s="737"/>
      <c r="H32" s="737"/>
      <c r="I32" s="614"/>
      <c r="J32" s="614"/>
      <c r="K32" s="614"/>
      <c r="L32" s="614"/>
      <c r="M32" s="614"/>
      <c r="N32" s="618"/>
      <c r="O32" s="614"/>
      <c r="P32" s="614"/>
    </row>
    <row r="33" spans="2:20" ht="14.25" customHeight="1" x14ac:dyDescent="0.2">
      <c r="B33" s="687" t="s">
        <v>381</v>
      </c>
      <c r="C33" s="687"/>
      <c r="D33" s="687"/>
      <c r="E33" s="687"/>
      <c r="F33" s="687"/>
      <c r="G33" s="687"/>
      <c r="H33" s="687"/>
      <c r="I33" s="615"/>
      <c r="J33" s="615"/>
      <c r="K33" s="615"/>
      <c r="L33" s="615"/>
      <c r="M33" s="615"/>
      <c r="N33" s="615"/>
      <c r="O33" s="615"/>
      <c r="P33" s="615"/>
      <c r="Q33" s="615"/>
      <c r="R33" s="615"/>
      <c r="S33" s="615"/>
      <c r="T33" s="615"/>
    </row>
    <row r="34" spans="2:20" ht="25.5" customHeight="1" x14ac:dyDescent="0.2">
      <c r="B34" s="737" t="s">
        <v>392</v>
      </c>
      <c r="C34" s="737"/>
      <c r="D34" s="737"/>
      <c r="E34" s="737"/>
      <c r="F34" s="737"/>
      <c r="G34" s="737"/>
      <c r="H34" s="737"/>
    </row>
  </sheetData>
  <mergeCells count="12">
    <mergeCell ref="B1:H1"/>
    <mergeCell ref="H5:H7"/>
    <mergeCell ref="G5:G7"/>
    <mergeCell ref="B3:H3"/>
    <mergeCell ref="B30:H30"/>
    <mergeCell ref="B34:H34"/>
    <mergeCell ref="B32:H32"/>
    <mergeCell ref="B33:H33"/>
    <mergeCell ref="B2:H2"/>
    <mergeCell ref="B5:B8"/>
    <mergeCell ref="E5:F5"/>
    <mergeCell ref="E6:F6"/>
  </mergeCells>
  <printOptions horizontalCentered="1"/>
  <pageMargins left="0.70866141732283472" right="0.39370078740157483" top="0.49" bottom="0.74803149606299213" header="0.31496062992125984" footer="0.31496062992125984"/>
  <pageSetup scale="95" orientation="landscape" r:id="rId1"/>
  <ignoredErrors>
    <ignoredError sqref="D7:D8 C8 E8:G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6"/>
  <sheetViews>
    <sheetView zoomScaleNormal="100" workbookViewId="0">
      <selection activeCell="B35" sqref="B35:K35"/>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2" customWidth="1"/>
    <col min="8" max="8" width="12.140625" style="12" customWidth="1"/>
    <col min="9" max="9" width="13.28515625" customWidth="1"/>
    <col min="10" max="10" width="13.140625" style="151" customWidth="1"/>
    <col min="11" max="11" width="13.85546875" style="151" customWidth="1"/>
    <col min="12" max="14" width="0" hidden="1" customWidth="1"/>
  </cols>
  <sheetData>
    <row r="1" spans="2:14" ht="18.75" x14ac:dyDescent="0.3">
      <c r="B1" s="774"/>
      <c r="C1" s="774"/>
      <c r="D1" s="774"/>
      <c r="E1" s="774"/>
      <c r="F1" s="774"/>
      <c r="G1" s="774"/>
      <c r="H1" s="774"/>
      <c r="I1" s="774"/>
      <c r="J1" s="774"/>
      <c r="K1" s="774"/>
    </row>
    <row r="2" spans="2:14" x14ac:dyDescent="0.25">
      <c r="B2" s="727" t="s">
        <v>336</v>
      </c>
      <c r="C2" s="727"/>
      <c r="D2" s="727"/>
      <c r="E2" s="727"/>
      <c r="F2" s="727"/>
      <c r="G2" s="727"/>
      <c r="H2" s="727"/>
      <c r="I2" s="727"/>
      <c r="J2" s="727"/>
      <c r="K2" s="727"/>
    </row>
    <row r="3" spans="2:14" x14ac:dyDescent="0.25">
      <c r="B3" s="700" t="s">
        <v>332</v>
      </c>
      <c r="C3" s="700"/>
      <c r="D3" s="700"/>
      <c r="E3" s="700"/>
      <c r="F3" s="700"/>
      <c r="G3" s="700"/>
      <c r="H3" s="700"/>
      <c r="I3" s="700"/>
      <c r="J3" s="700"/>
      <c r="K3" s="700"/>
    </row>
    <row r="4" spans="2:14" ht="15.75" thickBot="1" x14ac:dyDescent="0.3"/>
    <row r="5" spans="2:14" ht="15" customHeight="1" x14ac:dyDescent="0.25">
      <c r="B5" s="766" t="s">
        <v>93</v>
      </c>
      <c r="C5" s="777" t="s">
        <v>292</v>
      </c>
      <c r="D5" s="777" t="s">
        <v>319</v>
      </c>
      <c r="E5" s="775" t="s">
        <v>313</v>
      </c>
      <c r="F5" s="775" t="s">
        <v>318</v>
      </c>
      <c r="G5" s="777" t="s">
        <v>314</v>
      </c>
      <c r="H5" s="777" t="s">
        <v>315</v>
      </c>
      <c r="I5" s="777" t="s">
        <v>294</v>
      </c>
      <c r="J5" s="777" t="s">
        <v>316</v>
      </c>
      <c r="K5" s="779" t="s">
        <v>317</v>
      </c>
    </row>
    <row r="6" spans="2:14" x14ac:dyDescent="0.25">
      <c r="B6" s="655"/>
      <c r="C6" s="778"/>
      <c r="D6" s="778"/>
      <c r="E6" s="776"/>
      <c r="F6" s="776"/>
      <c r="G6" s="778"/>
      <c r="H6" s="778"/>
      <c r="I6" s="778"/>
      <c r="J6" s="778"/>
      <c r="K6" s="780"/>
    </row>
    <row r="7" spans="2:14" x14ac:dyDescent="0.25">
      <c r="B7" s="655"/>
      <c r="C7" s="778"/>
      <c r="D7" s="778"/>
      <c r="E7" s="776"/>
      <c r="F7" s="776"/>
      <c r="G7" s="778"/>
      <c r="H7" s="778"/>
      <c r="I7" s="778"/>
      <c r="J7" s="778"/>
      <c r="K7" s="780"/>
    </row>
    <row r="8" spans="2:14" ht="15.75" thickBot="1" x14ac:dyDescent="0.3">
      <c r="B8" s="656"/>
      <c r="C8" s="472" t="s">
        <v>80</v>
      </c>
      <c r="D8" s="472" t="s">
        <v>107</v>
      </c>
      <c r="E8" s="472" t="s">
        <v>81</v>
      </c>
      <c r="F8" s="472" t="s">
        <v>108</v>
      </c>
      <c r="G8" s="472" t="s">
        <v>83</v>
      </c>
      <c r="H8" s="472" t="s">
        <v>143</v>
      </c>
      <c r="I8" s="473" t="s">
        <v>144</v>
      </c>
      <c r="J8" s="472" t="s">
        <v>85</v>
      </c>
      <c r="K8" s="474" t="s">
        <v>145</v>
      </c>
      <c r="L8" s="160" t="s">
        <v>116</v>
      </c>
      <c r="M8" s="160" t="s">
        <v>146</v>
      </c>
      <c r="N8" s="161"/>
    </row>
    <row r="9" spans="2:14" x14ac:dyDescent="0.25">
      <c r="B9" s="475" t="s">
        <v>53</v>
      </c>
      <c r="C9" s="476">
        <v>3.65</v>
      </c>
      <c r="D9" s="477">
        <f>$D$29*C9/100</f>
        <v>1608902.6625000001</v>
      </c>
      <c r="E9" s="478">
        <f>'Predial y Agua'!G9</f>
        <v>10764713</v>
      </c>
      <c r="F9" s="479">
        <f>E9/$E$29*100</f>
        <v>1.4630599394343906</v>
      </c>
      <c r="G9" s="175">
        <v>37309</v>
      </c>
      <c r="H9" s="175">
        <f>F9*G9</f>
        <v>54585.303280357679</v>
      </c>
      <c r="I9" s="480">
        <f>H9/H$29*100</f>
        <v>0.21400784944443349</v>
      </c>
      <c r="J9" s="481">
        <f>$J$29*I9/100</f>
        <v>75401.332092794881</v>
      </c>
      <c r="K9" s="482">
        <f t="shared" ref="K9:K28" si="0">D9+J9</f>
        <v>1684303.9945927949</v>
      </c>
      <c r="L9" s="162">
        <f>I9</f>
        <v>0.21400784944443349</v>
      </c>
      <c r="M9" s="161">
        <v>0.307836</v>
      </c>
      <c r="N9" s="162">
        <f>L9-M9</f>
        <v>-9.3828150555566509E-2</v>
      </c>
    </row>
    <row r="10" spans="2:14" x14ac:dyDescent="0.25">
      <c r="B10" s="483" t="s">
        <v>54</v>
      </c>
      <c r="C10" s="476">
        <v>1.49</v>
      </c>
      <c r="D10" s="477">
        <f t="shared" ref="D10:D28" si="1">$D$29*C10/100</f>
        <v>656784.92249999999</v>
      </c>
      <c r="E10" s="478">
        <f>'Predial y Agua'!G10</f>
        <v>5967368</v>
      </c>
      <c r="F10" s="479">
        <f t="shared" ref="F10:F28" si="2">E10/$E$29*100</f>
        <v>0.81104039324250632</v>
      </c>
      <c r="G10" s="175">
        <v>15953</v>
      </c>
      <c r="H10" s="175">
        <f t="shared" ref="H10:H28" si="3">F10*G10</f>
        <v>12938.527393397704</v>
      </c>
      <c r="I10" s="480">
        <f t="shared" ref="I10:I29" si="4">H10/H$29*100</f>
        <v>5.0726958650705707E-2</v>
      </c>
      <c r="J10" s="481">
        <f t="shared" ref="J10:J28" si="5">$J$29*I10/100</f>
        <v>17872.616659663479</v>
      </c>
      <c r="K10" s="482">
        <f t="shared" si="0"/>
        <v>674657.53915966349</v>
      </c>
      <c r="L10" s="162">
        <f t="shared" ref="L10:L28" si="6">I10</f>
        <v>5.0726958650705707E-2</v>
      </c>
      <c r="M10" s="161">
        <v>5.7023999999999998E-2</v>
      </c>
      <c r="N10" s="162">
        <f t="shared" ref="N10:N28" si="7">L10-M10</f>
        <v>-6.2970413492942912E-3</v>
      </c>
    </row>
    <row r="11" spans="2:14" x14ac:dyDescent="0.25">
      <c r="B11" s="483" t="s">
        <v>55</v>
      </c>
      <c r="C11" s="476">
        <v>1.0900000000000001</v>
      </c>
      <c r="D11" s="477">
        <f t="shared" si="1"/>
        <v>480466.82250000001</v>
      </c>
      <c r="E11" s="478">
        <f>'Predial y Agua'!G11</f>
        <v>1073953</v>
      </c>
      <c r="F11" s="479">
        <f t="shared" si="2"/>
        <v>0.1459637252879275</v>
      </c>
      <c r="G11" s="175">
        <v>11851</v>
      </c>
      <c r="H11" s="175">
        <f t="shared" si="3"/>
        <v>1729.816108387229</v>
      </c>
      <c r="I11" s="480">
        <f t="shared" si="4"/>
        <v>6.7819395156407045E-3</v>
      </c>
      <c r="J11" s="481">
        <f t="shared" si="5"/>
        <v>2389.4790540608105</v>
      </c>
      <c r="K11" s="482">
        <f t="shared" si="0"/>
        <v>482856.30155406083</v>
      </c>
      <c r="L11" s="162">
        <f t="shared" si="6"/>
        <v>6.7819395156407045E-3</v>
      </c>
      <c r="M11" s="161">
        <v>3.8598E-2</v>
      </c>
      <c r="N11" s="162">
        <f t="shared" si="7"/>
        <v>-3.1816060484359296E-2</v>
      </c>
    </row>
    <row r="12" spans="2:14" x14ac:dyDescent="0.25">
      <c r="B12" s="483" t="s">
        <v>56</v>
      </c>
      <c r="C12" s="476">
        <v>8.82</v>
      </c>
      <c r="D12" s="477">
        <f t="shared" si="1"/>
        <v>3887814.105</v>
      </c>
      <c r="E12" s="478">
        <f>'Predial y Agua'!G12</f>
        <v>268805705</v>
      </c>
      <c r="F12" s="479">
        <f t="shared" si="2"/>
        <v>36.534077450733584</v>
      </c>
      <c r="G12" s="175">
        <v>150250</v>
      </c>
      <c r="H12" s="175">
        <f t="shared" si="3"/>
        <v>5489245.1369727207</v>
      </c>
      <c r="I12" s="480">
        <f t="shared" si="4"/>
        <v>21.521205823538462</v>
      </c>
      <c r="J12" s="481">
        <f t="shared" si="5"/>
        <v>7582561.0675058505</v>
      </c>
      <c r="K12" s="482">
        <f t="shared" si="0"/>
        <v>11470375.17250585</v>
      </c>
      <c r="L12" s="162">
        <f t="shared" si="6"/>
        <v>21.521205823538462</v>
      </c>
      <c r="M12" s="161">
        <v>27.722322999999999</v>
      </c>
      <c r="N12" s="162">
        <f t="shared" si="7"/>
        <v>-6.2011171764615369</v>
      </c>
    </row>
    <row r="13" spans="2:14" x14ac:dyDescent="0.25">
      <c r="B13" s="483" t="s">
        <v>57</v>
      </c>
      <c r="C13" s="476">
        <v>6.63</v>
      </c>
      <c r="D13" s="477">
        <f t="shared" si="1"/>
        <v>2922472.5074999998</v>
      </c>
      <c r="E13" s="478">
        <f>'Predial y Agua'!G13</f>
        <v>25483741</v>
      </c>
      <c r="F13" s="479">
        <f t="shared" si="2"/>
        <v>3.4635610409698514</v>
      </c>
      <c r="G13" s="175">
        <v>75520</v>
      </c>
      <c r="H13" s="175">
        <f t="shared" si="3"/>
        <v>261568.12981404318</v>
      </c>
      <c r="I13" s="480">
        <f t="shared" si="4"/>
        <v>1.0255074091499849</v>
      </c>
      <c r="J13" s="481">
        <f t="shared" si="5"/>
        <v>361316.76908896194</v>
      </c>
      <c r="K13" s="482">
        <f t="shared" si="0"/>
        <v>3283789.2765889619</v>
      </c>
      <c r="L13" s="162">
        <f t="shared" si="6"/>
        <v>1.0255074091499849</v>
      </c>
      <c r="M13" s="161">
        <v>1.5035639999999999</v>
      </c>
      <c r="N13" s="162">
        <f t="shared" si="7"/>
        <v>-0.47805659085001495</v>
      </c>
    </row>
    <row r="14" spans="2:14" x14ac:dyDescent="0.25">
      <c r="B14" s="483" t="s">
        <v>58</v>
      </c>
      <c r="C14" s="476">
        <v>3.22</v>
      </c>
      <c r="D14" s="477">
        <f t="shared" si="1"/>
        <v>1419360.7050000001</v>
      </c>
      <c r="E14" s="478">
        <f>'Predial y Agua'!G14</f>
        <v>146487</v>
      </c>
      <c r="F14" s="479">
        <f t="shared" si="2"/>
        <v>1.9909426414612776E-2</v>
      </c>
      <c r="G14" s="175">
        <v>42514</v>
      </c>
      <c r="H14" s="175">
        <f t="shared" si="3"/>
        <v>846.42935459084754</v>
      </c>
      <c r="I14" s="480">
        <f t="shared" si="4"/>
        <v>3.3185219280042104E-3</v>
      </c>
      <c r="J14" s="481">
        <f t="shared" si="5"/>
        <v>1169.2140012632415</v>
      </c>
      <c r="K14" s="482">
        <f t="shared" si="0"/>
        <v>1420529.9190012633</v>
      </c>
      <c r="L14" s="162">
        <f t="shared" si="6"/>
        <v>3.3185219280042104E-3</v>
      </c>
      <c r="M14" s="161">
        <v>1.0524E-2</v>
      </c>
      <c r="N14" s="162">
        <f t="shared" si="7"/>
        <v>-7.2054780719957899E-3</v>
      </c>
    </row>
    <row r="15" spans="2:14" x14ac:dyDescent="0.25">
      <c r="B15" s="483" t="s">
        <v>59</v>
      </c>
      <c r="C15" s="476">
        <v>1.1100000000000001</v>
      </c>
      <c r="D15" s="477">
        <f t="shared" si="1"/>
        <v>489282.7275000001</v>
      </c>
      <c r="E15" s="478">
        <f>'Predial y Agua'!G15</f>
        <v>37508</v>
      </c>
      <c r="F15" s="479">
        <f t="shared" si="2"/>
        <v>5.0978091295425269E-3</v>
      </c>
      <c r="G15" s="175">
        <v>12614</v>
      </c>
      <c r="H15" s="175">
        <f t="shared" si="3"/>
        <v>64.303764360049428</v>
      </c>
      <c r="I15" s="480">
        <f t="shared" si="4"/>
        <v>2.5211017425688312E-4</v>
      </c>
      <c r="J15" s="481">
        <f t="shared" si="5"/>
        <v>88.825914668384073</v>
      </c>
      <c r="K15" s="482">
        <f t="shared" si="0"/>
        <v>489371.55341466848</v>
      </c>
      <c r="L15" s="162">
        <f t="shared" si="6"/>
        <v>2.5211017425688312E-4</v>
      </c>
      <c r="M15" s="161">
        <v>6.78E-4</v>
      </c>
      <c r="N15" s="162">
        <f t="shared" si="7"/>
        <v>-4.2588982574311688E-4</v>
      </c>
    </row>
    <row r="16" spans="2:14" x14ac:dyDescent="0.25">
      <c r="B16" s="483" t="s">
        <v>60</v>
      </c>
      <c r="C16" s="476">
        <v>2.71</v>
      </c>
      <c r="D16" s="477">
        <f t="shared" si="1"/>
        <v>1194555.1274999999</v>
      </c>
      <c r="E16" s="478">
        <f>'Predial y Agua'!G16</f>
        <v>12917753</v>
      </c>
      <c r="F16" s="479">
        <f t="shared" si="2"/>
        <v>1.7556851652067655</v>
      </c>
      <c r="G16" s="175">
        <v>29416</v>
      </c>
      <c r="H16" s="175">
        <f t="shared" si="3"/>
        <v>51645.234819722216</v>
      </c>
      <c r="I16" s="480">
        <f t="shared" si="4"/>
        <v>0.20248097882784363</v>
      </c>
      <c r="J16" s="481">
        <f t="shared" si="5"/>
        <v>71340.072650169444</v>
      </c>
      <c r="K16" s="482">
        <f t="shared" si="0"/>
        <v>1265895.2001501694</v>
      </c>
      <c r="L16" s="162">
        <f t="shared" si="6"/>
        <v>0.20248097882784363</v>
      </c>
      <c r="M16" s="161">
        <v>0.364313</v>
      </c>
      <c r="N16" s="162">
        <f t="shared" si="7"/>
        <v>-0.16183202117215637</v>
      </c>
    </row>
    <row r="17" spans="2:14" x14ac:dyDescent="0.25">
      <c r="B17" s="483" t="s">
        <v>61</v>
      </c>
      <c r="C17" s="476">
        <v>1.69</v>
      </c>
      <c r="D17" s="477">
        <f t="shared" si="1"/>
        <v>744943.97250000003</v>
      </c>
      <c r="E17" s="478">
        <f>'Predial y Agua'!G17</f>
        <v>2600496</v>
      </c>
      <c r="F17" s="479">
        <f t="shared" si="2"/>
        <v>0.35344012611013176</v>
      </c>
      <c r="G17" s="175">
        <v>18580</v>
      </c>
      <c r="H17" s="175">
        <f t="shared" si="3"/>
        <v>6566.9175431262483</v>
      </c>
      <c r="I17" s="480">
        <f t="shared" si="4"/>
        <v>2.5746342264788499E-2</v>
      </c>
      <c r="J17" s="481">
        <f t="shared" si="5"/>
        <v>9071.2023335673657</v>
      </c>
      <c r="K17" s="482">
        <f t="shared" si="0"/>
        <v>754015.17483356735</v>
      </c>
      <c r="L17" s="162">
        <f t="shared" si="6"/>
        <v>2.5746342264788499E-2</v>
      </c>
      <c r="M17" s="161">
        <v>6.7258999999999999E-2</v>
      </c>
      <c r="N17" s="162">
        <f t="shared" si="7"/>
        <v>-4.1512657735211497E-2</v>
      </c>
    </row>
    <row r="18" spans="2:14" x14ac:dyDescent="0.25">
      <c r="B18" s="483" t="s">
        <v>62</v>
      </c>
      <c r="C18" s="476">
        <v>1.27</v>
      </c>
      <c r="D18" s="477">
        <f t="shared" si="1"/>
        <v>559809.96750000003</v>
      </c>
      <c r="E18" s="478">
        <f>'Predial y Agua'!G18</f>
        <v>2200274</v>
      </c>
      <c r="F18" s="479">
        <f t="shared" si="2"/>
        <v>0.29904492067545729</v>
      </c>
      <c r="G18" s="175">
        <v>14315</v>
      </c>
      <c r="H18" s="175">
        <f t="shared" si="3"/>
        <v>4280.828039469171</v>
      </c>
      <c r="I18" s="480">
        <f t="shared" si="4"/>
        <v>1.6783470046192711E-2</v>
      </c>
      <c r="J18" s="481">
        <f t="shared" si="5"/>
        <v>5913.3158055075664</v>
      </c>
      <c r="K18" s="482">
        <f t="shared" si="0"/>
        <v>565723.28330550762</v>
      </c>
      <c r="L18" s="162">
        <f t="shared" si="6"/>
        <v>1.6783470046192711E-2</v>
      </c>
      <c r="M18" s="161">
        <v>7.6290000000000004E-3</v>
      </c>
      <c r="N18" s="162">
        <f t="shared" si="7"/>
        <v>9.1544700461927107E-3</v>
      </c>
    </row>
    <row r="19" spans="2:14" x14ac:dyDescent="0.25">
      <c r="B19" s="483" t="s">
        <v>63</v>
      </c>
      <c r="C19" s="476">
        <v>3.39</v>
      </c>
      <c r="D19" s="477">
        <f t="shared" si="1"/>
        <v>1494295.8975</v>
      </c>
      <c r="E19" s="478">
        <f>'Predial y Agua'!G19</f>
        <v>1759253</v>
      </c>
      <c r="F19" s="479">
        <f t="shared" si="2"/>
        <v>0.23910461780353734</v>
      </c>
      <c r="G19" s="175">
        <v>33901</v>
      </c>
      <c r="H19" s="175">
        <f t="shared" si="3"/>
        <v>8105.8856481577195</v>
      </c>
      <c r="I19" s="480">
        <f t="shared" si="4"/>
        <v>3.1780040618166999E-2</v>
      </c>
      <c r="J19" s="481">
        <f t="shared" si="5"/>
        <v>11197.053765988625</v>
      </c>
      <c r="K19" s="482">
        <f t="shared" si="0"/>
        <v>1505492.9512659886</v>
      </c>
      <c r="L19" s="162">
        <f t="shared" si="6"/>
        <v>3.1780040618166999E-2</v>
      </c>
      <c r="M19" s="161">
        <v>5.3082999999999998E-2</v>
      </c>
      <c r="N19" s="162">
        <f t="shared" si="7"/>
        <v>-2.1302959381832999E-2</v>
      </c>
    </row>
    <row r="20" spans="2:14" x14ac:dyDescent="0.25">
      <c r="B20" s="483" t="s">
        <v>64</v>
      </c>
      <c r="C20" s="476">
        <v>2.21</v>
      </c>
      <c r="D20" s="477">
        <f t="shared" si="1"/>
        <v>974157.50249999994</v>
      </c>
      <c r="E20" s="478">
        <f>'Predial y Agua'!G20</f>
        <v>2805300</v>
      </c>
      <c r="F20" s="479">
        <f t="shared" si="2"/>
        <v>0.38127556657528128</v>
      </c>
      <c r="G20" s="175">
        <v>24743</v>
      </c>
      <c r="H20" s="175">
        <f t="shared" si="3"/>
        <v>9433.9013437721842</v>
      </c>
      <c r="I20" s="480">
        <f t="shared" si="4"/>
        <v>3.6986676213597962E-2</v>
      </c>
      <c r="J20" s="481">
        <f t="shared" si="5"/>
        <v>13031.506383667916</v>
      </c>
      <c r="K20" s="482">
        <f t="shared" si="0"/>
        <v>987189.00888366788</v>
      </c>
      <c r="L20" s="162">
        <f t="shared" si="6"/>
        <v>3.6986676213597962E-2</v>
      </c>
      <c r="M20" s="161">
        <v>4.0325E-2</v>
      </c>
      <c r="N20" s="162">
        <f t="shared" si="7"/>
        <v>-3.3383237864020379E-3</v>
      </c>
    </row>
    <row r="21" spans="2:14" x14ac:dyDescent="0.25">
      <c r="B21" s="483" t="s">
        <v>65</v>
      </c>
      <c r="C21" s="476">
        <v>3.95</v>
      </c>
      <c r="D21" s="477">
        <f t="shared" si="1"/>
        <v>1741141.2375</v>
      </c>
      <c r="E21" s="478">
        <f>'Predial y Agua'!G21</f>
        <v>6318753</v>
      </c>
      <c r="F21" s="479">
        <f t="shared" si="2"/>
        <v>0.85879803590498627</v>
      </c>
      <c r="G21" s="175">
        <v>43979</v>
      </c>
      <c r="H21" s="175">
        <f t="shared" si="3"/>
        <v>37769.078821065392</v>
      </c>
      <c r="I21" s="480">
        <f t="shared" si="4"/>
        <v>0.14807794128171675</v>
      </c>
      <c r="J21" s="481">
        <f t="shared" si="5"/>
        <v>52172.264032301937</v>
      </c>
      <c r="K21" s="482">
        <f t="shared" si="0"/>
        <v>1793313.501532302</v>
      </c>
      <c r="L21" s="162">
        <f t="shared" si="6"/>
        <v>0.14807794128171675</v>
      </c>
      <c r="M21" s="161">
        <v>0.15141299999999999</v>
      </c>
      <c r="N21" s="162">
        <f t="shared" si="7"/>
        <v>-3.3350587182832403E-3</v>
      </c>
    </row>
    <row r="22" spans="2:14" x14ac:dyDescent="0.25">
      <c r="B22" s="483" t="s">
        <v>66</v>
      </c>
      <c r="C22" s="476">
        <v>0.75</v>
      </c>
      <c r="D22" s="477">
        <f t="shared" si="1"/>
        <v>330596.4375</v>
      </c>
      <c r="E22" s="478">
        <f>'Predial y Agua'!G22</f>
        <v>1976515</v>
      </c>
      <c r="F22" s="479">
        <f t="shared" si="2"/>
        <v>0.26863325721653375</v>
      </c>
      <c r="G22" s="175">
        <v>7499</v>
      </c>
      <c r="H22" s="175">
        <f t="shared" si="3"/>
        <v>2014.4807958667866</v>
      </c>
      <c r="I22" s="480">
        <f t="shared" si="4"/>
        <v>7.8979995889424115E-3</v>
      </c>
      <c r="J22" s="481">
        <f t="shared" si="5"/>
        <v>2782.7002206721827</v>
      </c>
      <c r="K22" s="482">
        <f t="shared" si="0"/>
        <v>333379.13772067218</v>
      </c>
      <c r="L22" s="162">
        <f t="shared" si="6"/>
        <v>7.8979995889424115E-3</v>
      </c>
      <c r="M22" s="161">
        <v>7.8689999999999993E-3</v>
      </c>
      <c r="N22" s="162">
        <f t="shared" si="7"/>
        <v>2.8999588942412238E-5</v>
      </c>
    </row>
    <row r="23" spans="2:14" x14ac:dyDescent="0.25">
      <c r="B23" s="483" t="s">
        <v>67</v>
      </c>
      <c r="C23" s="476">
        <v>2.2799999999999998</v>
      </c>
      <c r="D23" s="477">
        <f t="shared" si="1"/>
        <v>1005013.1699999998</v>
      </c>
      <c r="E23" s="478">
        <f>'Predial y Agua'!G23</f>
        <v>4697523</v>
      </c>
      <c r="F23" s="479">
        <f t="shared" si="2"/>
        <v>0.63845248042113678</v>
      </c>
      <c r="G23" s="175">
        <v>23477</v>
      </c>
      <c r="H23" s="175">
        <f t="shared" si="3"/>
        <v>14988.948882847028</v>
      </c>
      <c r="I23" s="480">
        <f t="shared" si="4"/>
        <v>5.8765867790001536E-2</v>
      </c>
      <c r="J23" s="481">
        <f t="shared" si="5"/>
        <v>20704.963506984295</v>
      </c>
      <c r="K23" s="482">
        <f t="shared" si="0"/>
        <v>1025718.1335069841</v>
      </c>
      <c r="L23" s="162">
        <f t="shared" si="6"/>
        <v>5.8765867790001536E-2</v>
      </c>
      <c r="M23" s="161">
        <v>8.7175000000000002E-2</v>
      </c>
      <c r="N23" s="162">
        <f t="shared" si="7"/>
        <v>-2.8409132209998467E-2</v>
      </c>
    </row>
    <row r="24" spans="2:14" x14ac:dyDescent="0.25">
      <c r="B24" s="483" t="s">
        <v>68</v>
      </c>
      <c r="C24" s="476">
        <v>8.8800000000000008</v>
      </c>
      <c r="D24" s="477">
        <f t="shared" si="1"/>
        <v>3914261.8200000008</v>
      </c>
      <c r="E24" s="478">
        <f>'Predial y Agua'!G24</f>
        <v>16009888</v>
      </c>
      <c r="F24" s="479">
        <f t="shared" si="2"/>
        <v>2.1759452172697382</v>
      </c>
      <c r="G24" s="175">
        <v>97820</v>
      </c>
      <c r="H24" s="175">
        <f t="shared" si="3"/>
        <v>212850.9611533258</v>
      </c>
      <c r="I24" s="480">
        <f t="shared" si="4"/>
        <v>0.8345062445589736</v>
      </c>
      <c r="J24" s="481">
        <f t="shared" si="5"/>
        <v>294021.37651890202</v>
      </c>
      <c r="K24" s="482">
        <f t="shared" si="0"/>
        <v>4208283.1965189027</v>
      </c>
      <c r="L24" s="162">
        <f t="shared" si="6"/>
        <v>0.8345062445589736</v>
      </c>
      <c r="M24" s="161">
        <v>1.2821199999999999</v>
      </c>
      <c r="N24" s="162">
        <f t="shared" si="7"/>
        <v>-0.44761375544102633</v>
      </c>
    </row>
    <row r="25" spans="2:14" x14ac:dyDescent="0.25">
      <c r="B25" s="483" t="s">
        <v>69</v>
      </c>
      <c r="C25" s="476">
        <v>3.92</v>
      </c>
      <c r="D25" s="477">
        <f t="shared" si="1"/>
        <v>1727917.38</v>
      </c>
      <c r="E25" s="478">
        <f>'Predial y Agua'!G25</f>
        <v>4565908</v>
      </c>
      <c r="F25" s="479">
        <f t="shared" si="2"/>
        <v>0.62056434592756893</v>
      </c>
      <c r="G25" s="175">
        <v>39718</v>
      </c>
      <c r="H25" s="175">
        <f t="shared" si="3"/>
        <v>24647.574691551181</v>
      </c>
      <c r="I25" s="480">
        <f t="shared" si="4"/>
        <v>9.6633601661383878E-2</v>
      </c>
      <c r="J25" s="481">
        <f t="shared" si="5"/>
        <v>34046.892714954971</v>
      </c>
      <c r="K25" s="482">
        <f t="shared" si="0"/>
        <v>1761964.2727149548</v>
      </c>
      <c r="L25" s="162">
        <f t="shared" si="6"/>
        <v>9.6633601661383878E-2</v>
      </c>
      <c r="M25" s="161">
        <v>0.39474799999999999</v>
      </c>
      <c r="N25" s="162">
        <f t="shared" si="7"/>
        <v>-0.29811439833861608</v>
      </c>
    </row>
    <row r="26" spans="2:14" x14ac:dyDescent="0.25">
      <c r="B26" s="483" t="s">
        <v>70</v>
      </c>
      <c r="C26" s="476">
        <v>35.42</v>
      </c>
      <c r="D26" s="477">
        <f t="shared" si="1"/>
        <v>15612967.755000001</v>
      </c>
      <c r="E26" s="478">
        <f>'Predial y Agua'!G26</f>
        <v>339819544</v>
      </c>
      <c r="F26" s="479">
        <f t="shared" si="2"/>
        <v>46.185751674314233</v>
      </c>
      <c r="G26" s="175">
        <v>413608</v>
      </c>
      <c r="H26" s="175">
        <f t="shared" si="3"/>
        <v>19102796.37850976</v>
      </c>
      <c r="I26" s="480">
        <f t="shared" si="4"/>
        <v>74.894671746028223</v>
      </c>
      <c r="J26" s="481">
        <f t="shared" si="5"/>
        <v>26387620.972610187</v>
      </c>
      <c r="K26" s="482">
        <f t="shared" si="0"/>
        <v>42000588.727610186</v>
      </c>
      <c r="L26" s="162">
        <f t="shared" si="6"/>
        <v>74.894671746028223</v>
      </c>
      <c r="M26" s="161">
        <v>66.428610000000006</v>
      </c>
      <c r="N26" s="162">
        <f t="shared" si="7"/>
        <v>8.4660617460282168</v>
      </c>
    </row>
    <row r="27" spans="2:14" x14ac:dyDescent="0.25">
      <c r="B27" s="483" t="s">
        <v>71</v>
      </c>
      <c r="C27" s="476">
        <v>3</v>
      </c>
      <c r="D27" s="477">
        <f t="shared" si="1"/>
        <v>1322385.75</v>
      </c>
      <c r="E27" s="478">
        <f>'Predial y Agua'!G27</f>
        <v>1900594</v>
      </c>
      <c r="F27" s="479">
        <f t="shared" si="2"/>
        <v>0.25831463807064492</v>
      </c>
      <c r="G27" s="175">
        <v>30565</v>
      </c>
      <c r="H27" s="175">
        <f t="shared" si="3"/>
        <v>7895.386912629262</v>
      </c>
      <c r="I27" s="480">
        <f t="shared" si="4"/>
        <v>3.0954756539962963E-2</v>
      </c>
      <c r="J27" s="481">
        <f t="shared" si="5"/>
        <v>10906.281633036015</v>
      </c>
      <c r="K27" s="482">
        <f t="shared" si="0"/>
        <v>1333292.031633036</v>
      </c>
      <c r="L27" s="162">
        <f t="shared" si="6"/>
        <v>3.0954756539962963E-2</v>
      </c>
      <c r="M27" s="161">
        <v>4.3832000000000003E-2</v>
      </c>
      <c r="N27" s="162">
        <f t="shared" si="7"/>
        <v>-1.287724346003704E-2</v>
      </c>
    </row>
    <row r="28" spans="2:14" ht="15.75" thickBot="1" x14ac:dyDescent="0.3">
      <c r="B28" s="483" t="s">
        <v>72</v>
      </c>
      <c r="C28" s="484">
        <v>4.5199999999999996</v>
      </c>
      <c r="D28" s="485">
        <f t="shared" si="1"/>
        <v>1992394.5299999998</v>
      </c>
      <c r="E28" s="486">
        <f>'Predial y Agua'!G28</f>
        <v>25915777</v>
      </c>
      <c r="F28" s="487">
        <f t="shared" si="2"/>
        <v>3.5222801692915708</v>
      </c>
      <c r="G28" s="196">
        <v>57418</v>
      </c>
      <c r="H28" s="196">
        <f t="shared" si="3"/>
        <v>202242.28276038342</v>
      </c>
      <c r="I28" s="488">
        <f t="shared" si="4"/>
        <v>0.79291372217871958</v>
      </c>
      <c r="J28" s="489">
        <f t="shared" si="5"/>
        <v>279367.09350679774</v>
      </c>
      <c r="K28" s="490">
        <f t="shared" si="0"/>
        <v>2271761.6235067975</v>
      </c>
      <c r="L28" s="162">
        <f t="shared" si="6"/>
        <v>0.79291372217871958</v>
      </c>
      <c r="M28" s="161">
        <v>1.431076</v>
      </c>
      <c r="N28" s="162">
        <f t="shared" si="7"/>
        <v>-0.63816227782128043</v>
      </c>
    </row>
    <row r="29" spans="2:14" ht="15.75" thickBot="1" x14ac:dyDescent="0.3">
      <c r="B29" s="491" t="s">
        <v>73</v>
      </c>
      <c r="C29" s="492">
        <f t="shared" ref="C29:H29" si="8">SUM(C9:C28)</f>
        <v>100.00000000000001</v>
      </c>
      <c r="D29" s="493">
        <f>Datos!K34</f>
        <v>44079525</v>
      </c>
      <c r="E29" s="494">
        <f t="shared" si="8"/>
        <v>735767053</v>
      </c>
      <c r="F29" s="495">
        <f t="shared" si="8"/>
        <v>100</v>
      </c>
      <c r="G29" s="496">
        <f t="shared" si="8"/>
        <v>1181050</v>
      </c>
      <c r="H29" s="138">
        <f t="shared" si="8"/>
        <v>25506215.506609533</v>
      </c>
      <c r="I29" s="411">
        <f t="shared" si="4"/>
        <v>100</v>
      </c>
      <c r="J29" s="497">
        <f>Datos!K35</f>
        <v>35232975</v>
      </c>
      <c r="K29" s="498">
        <f>SUM(K9:K28)</f>
        <v>79312500</v>
      </c>
      <c r="L29" s="163">
        <f t="shared" ref="L29:N29" si="9">SUM(L9:L28)</f>
        <v>100.00000000000001</v>
      </c>
      <c r="M29" s="163">
        <f t="shared" si="9"/>
        <v>99.999999000000003</v>
      </c>
      <c r="N29" s="163">
        <f t="shared" si="9"/>
        <v>9.9999999669808659E-7</v>
      </c>
    </row>
    <row r="30" spans="2:14" x14ac:dyDescent="0.25">
      <c r="B30" s="736" t="s">
        <v>378</v>
      </c>
      <c r="C30" s="736"/>
      <c r="D30" s="736"/>
      <c r="E30" s="736"/>
      <c r="F30" s="736"/>
      <c r="G30" s="736"/>
      <c r="H30" s="105"/>
      <c r="I30" s="6"/>
    </row>
    <row r="31" spans="2:14" x14ac:dyDescent="0.25">
      <c r="B31" s="782" t="s">
        <v>377</v>
      </c>
      <c r="C31" s="782"/>
      <c r="D31" s="782"/>
      <c r="E31" s="782"/>
      <c r="F31" s="782"/>
      <c r="G31" s="782"/>
      <c r="H31" s="782"/>
      <c r="I31" s="782"/>
      <c r="J31" s="782"/>
      <c r="K31" s="782"/>
    </row>
    <row r="32" spans="2:14" ht="41.25" customHeight="1" x14ac:dyDescent="0.25">
      <c r="B32" s="737" t="s">
        <v>380</v>
      </c>
      <c r="C32" s="737"/>
      <c r="D32" s="737"/>
      <c r="E32" s="737"/>
      <c r="F32" s="737"/>
      <c r="G32" s="737"/>
      <c r="H32" s="737"/>
      <c r="I32" s="737"/>
      <c r="J32" s="737"/>
      <c r="K32" s="737"/>
    </row>
    <row r="33" spans="2:20" ht="15" customHeight="1" x14ac:dyDescent="0.25">
      <c r="B33" s="687" t="s">
        <v>381</v>
      </c>
      <c r="C33" s="687"/>
      <c r="D33" s="687"/>
      <c r="E33" s="687"/>
      <c r="F33" s="687"/>
      <c r="G33" s="687"/>
      <c r="H33" s="687"/>
      <c r="I33" s="687"/>
      <c r="J33" s="687"/>
      <c r="K33" s="687"/>
      <c r="L33" s="615"/>
      <c r="M33" s="615"/>
      <c r="N33" s="615"/>
      <c r="O33" s="615"/>
      <c r="P33" s="615"/>
      <c r="Q33" s="615"/>
      <c r="R33" s="615"/>
      <c r="S33" s="615"/>
      <c r="T33" s="615"/>
    </row>
    <row r="34" spans="2:20" ht="23.25" customHeight="1" x14ac:dyDescent="0.25">
      <c r="B34" s="687" t="s">
        <v>382</v>
      </c>
      <c r="C34" s="687"/>
      <c r="D34" s="687"/>
      <c r="E34" s="687"/>
      <c r="F34" s="687"/>
      <c r="G34" s="687"/>
      <c r="H34" s="687"/>
      <c r="I34" s="687"/>
      <c r="J34" s="687"/>
      <c r="K34" s="687"/>
      <c r="L34" s="615"/>
      <c r="M34" s="615"/>
      <c r="N34" s="615"/>
      <c r="O34" s="615"/>
      <c r="P34" s="615"/>
      <c r="Q34" s="615"/>
      <c r="R34" s="615"/>
      <c r="S34" s="615"/>
      <c r="T34" s="615"/>
    </row>
    <row r="35" spans="2:20" ht="24.75" customHeight="1" x14ac:dyDescent="0.25">
      <c r="B35" s="737" t="s">
        <v>392</v>
      </c>
      <c r="C35" s="737"/>
      <c r="D35" s="737"/>
      <c r="E35" s="737"/>
      <c r="F35" s="737"/>
      <c r="G35" s="737"/>
      <c r="H35" s="737"/>
      <c r="I35" s="737"/>
      <c r="J35" s="737"/>
      <c r="K35" s="737"/>
    </row>
    <row r="36" spans="2:20" x14ac:dyDescent="0.25">
      <c r="F36" s="781"/>
      <c r="G36" s="781"/>
      <c r="H36" s="781"/>
      <c r="I36" s="781"/>
      <c r="J36" s="781"/>
      <c r="K36" s="781"/>
    </row>
  </sheetData>
  <mergeCells count="20">
    <mergeCell ref="B33:K33"/>
    <mergeCell ref="B34:K34"/>
    <mergeCell ref="B2:K2"/>
    <mergeCell ref="B5:B8"/>
    <mergeCell ref="F36:K36"/>
    <mergeCell ref="B30:G30"/>
    <mergeCell ref="B35:K35"/>
    <mergeCell ref="B31:K31"/>
    <mergeCell ref="B32:K32"/>
    <mergeCell ref="B1:K1"/>
    <mergeCell ref="E5:E7"/>
    <mergeCell ref="G5:G7"/>
    <mergeCell ref="H5:H7"/>
    <mergeCell ref="I5:I7"/>
    <mergeCell ref="J5:J7"/>
    <mergeCell ref="K5:K7"/>
    <mergeCell ref="F5:F7"/>
    <mergeCell ref="D5:D7"/>
    <mergeCell ref="C5:C7"/>
    <mergeCell ref="B3:K3"/>
  </mergeCells>
  <pageMargins left="0.70866141732283472" right="0.36" top="0.74803149606299213" bottom="0.74803149606299213" header="0.31496062992125984" footer="0.31496062992125984"/>
  <pageSetup scale="88" orientation="landscape" r:id="rId1"/>
  <ignoredErrors>
    <ignoredError sqref="C8:G8 J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32"/>
  <sheetViews>
    <sheetView workbookViewId="0">
      <selection activeCell="E34" sqref="E34"/>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2" customWidth="1"/>
    <col min="14" max="14" width="15.85546875" customWidth="1"/>
    <col min="15" max="15" width="14.7109375" customWidth="1"/>
    <col min="16" max="16" width="15.140625" customWidth="1"/>
  </cols>
  <sheetData>
    <row r="2" spans="2:20" x14ac:dyDescent="0.25">
      <c r="B2" s="727" t="s">
        <v>337</v>
      </c>
      <c r="C2" s="727"/>
      <c r="D2" s="727"/>
      <c r="E2" s="727"/>
      <c r="F2" s="727"/>
      <c r="G2" s="727"/>
      <c r="H2" s="727"/>
      <c r="I2" s="727"/>
      <c r="J2" s="727"/>
      <c r="K2" s="11"/>
      <c r="N2" s="193"/>
    </row>
    <row r="3" spans="2:20" x14ac:dyDescent="0.25">
      <c r="B3" s="787" t="s">
        <v>332</v>
      </c>
      <c r="C3" s="787"/>
      <c r="D3" s="787"/>
      <c r="E3" s="787"/>
      <c r="F3" s="787"/>
      <c r="G3" s="787"/>
      <c r="H3" s="787"/>
      <c r="I3" s="787"/>
      <c r="J3" s="787"/>
      <c r="K3" s="11"/>
      <c r="L3" s="79"/>
      <c r="M3" s="79"/>
    </row>
    <row r="4" spans="2:20" ht="15.75" thickBot="1" x14ac:dyDescent="0.3">
      <c r="K4" s="194"/>
      <c r="L4" s="194"/>
      <c r="M4" s="194"/>
      <c r="N4" s="194"/>
    </row>
    <row r="5" spans="2:20" ht="15" customHeight="1" x14ac:dyDescent="0.25">
      <c r="B5" s="675" t="s">
        <v>93</v>
      </c>
      <c r="C5" s="391" t="s">
        <v>149</v>
      </c>
      <c r="D5" s="785" t="s">
        <v>287</v>
      </c>
      <c r="E5" s="499" t="s">
        <v>150</v>
      </c>
      <c r="F5" s="785" t="s">
        <v>288</v>
      </c>
      <c r="G5" s="499" t="s">
        <v>37</v>
      </c>
      <c r="H5" s="499" t="s">
        <v>37</v>
      </c>
      <c r="I5" s="785" t="s">
        <v>289</v>
      </c>
      <c r="J5" s="788" t="s">
        <v>290</v>
      </c>
      <c r="K5" s="784"/>
      <c r="L5" s="194"/>
      <c r="M5" s="194"/>
      <c r="N5" s="194"/>
      <c r="O5" s="194"/>
      <c r="P5" s="151"/>
      <c r="Q5" s="151"/>
      <c r="R5" s="159"/>
      <c r="S5" s="159"/>
      <c r="T5" s="159"/>
    </row>
    <row r="6" spans="2:20" x14ac:dyDescent="0.25">
      <c r="B6" s="676"/>
      <c r="C6" s="392" t="s">
        <v>41</v>
      </c>
      <c r="D6" s="786"/>
      <c r="E6" s="390" t="s">
        <v>41</v>
      </c>
      <c r="F6" s="786"/>
      <c r="G6" s="390" t="s">
        <v>41</v>
      </c>
      <c r="H6" s="390" t="s">
        <v>152</v>
      </c>
      <c r="I6" s="786"/>
      <c r="J6" s="789"/>
      <c r="K6" s="784"/>
      <c r="L6" s="194"/>
      <c r="M6" s="194"/>
      <c r="N6" s="194"/>
      <c r="O6" s="194"/>
      <c r="P6" s="151"/>
      <c r="Q6" s="151"/>
      <c r="R6" s="159"/>
      <c r="S6" s="159"/>
      <c r="T6" s="159"/>
    </row>
    <row r="7" spans="2:20" x14ac:dyDescent="0.25">
      <c r="B7" s="676"/>
      <c r="C7" s="518">
        <v>0.6</v>
      </c>
      <c r="D7" s="500" t="s">
        <v>52</v>
      </c>
      <c r="E7" s="500">
        <v>0.3</v>
      </c>
      <c r="F7" s="500" t="s">
        <v>52</v>
      </c>
      <c r="G7" s="500">
        <v>0.1</v>
      </c>
      <c r="H7" s="500"/>
      <c r="I7" s="500" t="s">
        <v>52</v>
      </c>
      <c r="J7" s="789"/>
      <c r="K7" s="194"/>
      <c r="L7" s="194"/>
      <c r="M7" s="194"/>
      <c r="N7" s="194"/>
      <c r="O7" s="194"/>
      <c r="P7" s="151"/>
      <c r="Q7" s="151"/>
      <c r="R7" s="159"/>
      <c r="S7" s="159"/>
      <c r="T7" s="159"/>
    </row>
    <row r="8" spans="2:20" ht="15.75" thickBot="1" x14ac:dyDescent="0.3">
      <c r="B8" s="677"/>
      <c r="C8" s="621" t="s">
        <v>80</v>
      </c>
      <c r="D8" s="622" t="s">
        <v>107</v>
      </c>
      <c r="E8" s="622" t="s">
        <v>81</v>
      </c>
      <c r="F8" s="622" t="s">
        <v>108</v>
      </c>
      <c r="G8" s="622" t="s">
        <v>83</v>
      </c>
      <c r="H8" s="622" t="s">
        <v>389</v>
      </c>
      <c r="I8" s="622" t="s">
        <v>84</v>
      </c>
      <c r="J8" s="623" t="s">
        <v>390</v>
      </c>
      <c r="K8" s="165"/>
      <c r="L8" s="165"/>
      <c r="M8" s="165"/>
      <c r="N8" s="165"/>
      <c r="O8" s="194"/>
      <c r="P8" s="165"/>
      <c r="Q8" s="165"/>
      <c r="R8" s="159"/>
      <c r="S8" s="159"/>
      <c r="T8" s="159"/>
    </row>
    <row r="9" spans="2:20" ht="22.5" customHeight="1" x14ac:dyDescent="0.25">
      <c r="B9" s="154" t="s">
        <v>53</v>
      </c>
      <c r="C9" s="519">
        <f>FGP!E9</f>
        <v>3.1589687142796663</v>
      </c>
      <c r="D9" s="464">
        <f t="shared" ref="D9:D28" si="0">C9*$D$29/100</f>
        <v>43498.999195631004</v>
      </c>
      <c r="E9" s="501">
        <f>FGP!K9</f>
        <v>4.7947430769572916</v>
      </c>
      <c r="F9" s="464">
        <f t="shared" ref="F9:F28" si="1">E9*$F$29/100</f>
        <v>33011.806084850949</v>
      </c>
      <c r="G9" s="501">
        <f>FGP!Q9</f>
        <v>4.2376676340305943</v>
      </c>
      <c r="H9" s="501">
        <f>G9*10%</f>
        <v>0.42376676340305947</v>
      </c>
      <c r="I9" s="464">
        <f>G9*$I$29/100</f>
        <v>9725.4472201002136</v>
      </c>
      <c r="J9" s="502">
        <f t="shared" ref="J9:J28" si="2">D9+F9+I9</f>
        <v>86236.252500582166</v>
      </c>
      <c r="K9" s="148"/>
      <c r="L9" s="167"/>
      <c r="M9" s="124"/>
      <c r="N9" s="124"/>
      <c r="O9" s="167"/>
      <c r="P9" s="168"/>
      <c r="Q9" s="169"/>
      <c r="R9" s="170"/>
      <c r="S9" s="159"/>
      <c r="T9" s="159"/>
    </row>
    <row r="10" spans="2:20" ht="22.5" customHeight="1" x14ac:dyDescent="0.25">
      <c r="B10" s="154" t="s">
        <v>54</v>
      </c>
      <c r="C10" s="519">
        <f>FGP!E10</f>
        <v>1.3507472164599297</v>
      </c>
      <c r="D10" s="464">
        <f t="shared" si="0"/>
        <v>18599.789170653232</v>
      </c>
      <c r="E10" s="501">
        <f>FGP!K10</f>
        <v>6.1353400130537059</v>
      </c>
      <c r="F10" s="464">
        <f t="shared" si="1"/>
        <v>42241.815989874769</v>
      </c>
      <c r="G10" s="501">
        <f>FGP!Q10</f>
        <v>5.3290402568317408</v>
      </c>
      <c r="H10" s="501">
        <f t="shared" ref="H10:H29" si="3">G10*10%</f>
        <v>0.53290402568317408</v>
      </c>
      <c r="I10" s="464">
        <f t="shared" ref="I10:I28" si="4">G10*$I$29/100</f>
        <v>12230.147389428847</v>
      </c>
      <c r="J10" s="502">
        <f t="shared" si="2"/>
        <v>73071.752549956844</v>
      </c>
      <c r="K10" s="148"/>
      <c r="L10" s="167"/>
      <c r="M10" s="211"/>
      <c r="N10" s="124"/>
      <c r="O10" s="167"/>
      <c r="P10" s="168"/>
      <c r="Q10" s="169"/>
      <c r="R10" s="170"/>
      <c r="S10" s="159"/>
      <c r="T10" s="159"/>
    </row>
    <row r="11" spans="2:20" ht="22.5" customHeight="1" x14ac:dyDescent="0.25">
      <c r="B11" s="154" t="s">
        <v>55</v>
      </c>
      <c r="C11" s="519">
        <f>FGP!E11</f>
        <v>1.0034291520257399</v>
      </c>
      <c r="D11" s="464">
        <f t="shared" si="0"/>
        <v>13817.219423394439</v>
      </c>
      <c r="E11" s="501">
        <f>FGP!K11</f>
        <v>1.2118270270268003</v>
      </c>
      <c r="F11" s="464">
        <f t="shared" si="1"/>
        <v>8343.4290810795192</v>
      </c>
      <c r="G11" s="501">
        <f>FGP!Q11</f>
        <v>14.630770535675348</v>
      </c>
      <c r="H11" s="501">
        <f t="shared" si="3"/>
        <v>1.4630770535675348</v>
      </c>
      <c r="I11" s="464">
        <f t="shared" si="4"/>
        <v>33577.618379374922</v>
      </c>
      <c r="J11" s="502">
        <f t="shared" si="2"/>
        <v>55738.266883848883</v>
      </c>
      <c r="K11" s="148"/>
      <c r="L11" s="167"/>
      <c r="M11" s="124"/>
      <c r="N11" s="124"/>
      <c r="O11" s="167"/>
      <c r="P11" s="168"/>
      <c r="Q11" s="169"/>
      <c r="R11" s="170"/>
      <c r="S11" s="159"/>
      <c r="T11" s="159"/>
    </row>
    <row r="12" spans="2:20" ht="22.5" customHeight="1" x14ac:dyDescent="0.25">
      <c r="B12" s="154" t="s">
        <v>56</v>
      </c>
      <c r="C12" s="519">
        <f>FGP!E12</f>
        <v>12.721730663392744</v>
      </c>
      <c r="D12" s="464">
        <f t="shared" si="0"/>
        <v>175178.23123491809</v>
      </c>
      <c r="E12" s="501">
        <f>FGP!K12</f>
        <v>5.3541753001411196</v>
      </c>
      <c r="F12" s="464">
        <f t="shared" si="1"/>
        <v>36863.496941471611</v>
      </c>
      <c r="G12" s="501">
        <f>FGP!Q12</f>
        <v>1.5290733855979646</v>
      </c>
      <c r="H12" s="501">
        <f t="shared" si="3"/>
        <v>0.15290733855979646</v>
      </c>
      <c r="I12" s="464">
        <f t="shared" si="4"/>
        <v>3509.2234199473287</v>
      </c>
      <c r="J12" s="502">
        <f t="shared" si="2"/>
        <v>215550.95159633702</v>
      </c>
      <c r="K12" s="148"/>
      <c r="L12" s="167"/>
      <c r="M12" s="124"/>
      <c r="N12" s="124"/>
      <c r="O12" s="167"/>
      <c r="P12" s="168"/>
      <c r="Q12" s="169"/>
      <c r="R12" s="170"/>
      <c r="S12" s="159"/>
      <c r="T12" s="159"/>
    </row>
    <row r="13" spans="2:20" ht="22.5" customHeight="1" x14ac:dyDescent="0.25">
      <c r="B13" s="154" t="s">
        <v>57</v>
      </c>
      <c r="C13" s="519">
        <f>FGP!E13</f>
        <v>6.3943101477498834</v>
      </c>
      <c r="D13" s="464">
        <f t="shared" si="0"/>
        <v>88049.650734515904</v>
      </c>
      <c r="E13" s="501">
        <f>FGP!K13</f>
        <v>4.7040553377568894</v>
      </c>
      <c r="F13" s="464">
        <f t="shared" si="1"/>
        <v>32387.421000456186</v>
      </c>
      <c r="G13" s="501">
        <f>FGP!Q13</f>
        <v>2.6920893917463751</v>
      </c>
      <c r="H13" s="501">
        <f t="shared" si="3"/>
        <v>0.26920893917463751</v>
      </c>
      <c r="I13" s="464">
        <f t="shared" si="4"/>
        <v>6178.3451540579308</v>
      </c>
      <c r="J13" s="502">
        <f t="shared" si="2"/>
        <v>126615.41688903002</v>
      </c>
      <c r="K13" s="148"/>
      <c r="L13" s="167"/>
      <c r="M13" s="124"/>
      <c r="N13" s="124"/>
      <c r="O13" s="167"/>
      <c r="P13" s="168"/>
      <c r="Q13" s="169"/>
      <c r="R13" s="170"/>
      <c r="S13" s="159"/>
      <c r="T13" s="159"/>
    </row>
    <row r="14" spans="2:20" ht="22.5" customHeight="1" x14ac:dyDescent="0.25">
      <c r="B14" s="154" t="s">
        <v>58</v>
      </c>
      <c r="C14" s="519">
        <f>FGP!E14</f>
        <v>3.5996782524025233</v>
      </c>
      <c r="D14" s="464">
        <f t="shared" si="0"/>
        <v>49567.569535582748</v>
      </c>
      <c r="E14" s="501">
        <f>FGP!K14</f>
        <v>2.17482674496088</v>
      </c>
      <c r="F14" s="464">
        <f t="shared" si="1"/>
        <v>14973.68213905566</v>
      </c>
      <c r="G14" s="501">
        <f>FGP!Q14</f>
        <v>5.0235679472903874</v>
      </c>
      <c r="H14" s="501">
        <f t="shared" si="3"/>
        <v>0.50235679472903871</v>
      </c>
      <c r="I14" s="464">
        <f t="shared" si="4"/>
        <v>11529.088439031439</v>
      </c>
      <c r="J14" s="502">
        <f t="shared" si="2"/>
        <v>76070.340113669838</v>
      </c>
      <c r="K14" s="148"/>
      <c r="L14" s="167"/>
      <c r="M14" s="124"/>
      <c r="N14" s="124"/>
      <c r="O14" s="167"/>
      <c r="P14" s="168"/>
      <c r="Q14" s="169"/>
      <c r="R14" s="170"/>
      <c r="S14" s="159"/>
      <c r="T14" s="159"/>
    </row>
    <row r="15" spans="2:20" ht="22.5" customHeight="1" x14ac:dyDescent="0.25">
      <c r="B15" s="154" t="s">
        <v>59</v>
      </c>
      <c r="C15" s="519">
        <f>FGP!E15</f>
        <v>1.0680326827822699</v>
      </c>
      <c r="D15" s="464">
        <f t="shared" si="0"/>
        <v>14706.810041911856</v>
      </c>
      <c r="E15" s="501">
        <f>FGP!K15</f>
        <v>2.5627382576739772</v>
      </c>
      <c r="F15" s="464">
        <f t="shared" si="1"/>
        <v>17644.452904085334</v>
      </c>
      <c r="G15" s="501">
        <f>FGP!Q15</f>
        <v>10.022092915875856</v>
      </c>
      <c r="H15" s="501">
        <f t="shared" si="3"/>
        <v>1.0022092915875855</v>
      </c>
      <c r="I15" s="464">
        <f t="shared" si="4"/>
        <v>23000.703241935087</v>
      </c>
      <c r="J15" s="502">
        <f t="shared" si="2"/>
        <v>55351.966187932281</v>
      </c>
      <c r="K15" s="148"/>
      <c r="L15" s="167"/>
      <c r="M15" s="124"/>
      <c r="N15" s="124"/>
      <c r="O15" s="167"/>
      <c r="P15" s="168"/>
      <c r="Q15" s="169"/>
      <c r="R15" s="170"/>
      <c r="S15" s="159"/>
      <c r="T15" s="159"/>
    </row>
    <row r="16" spans="2:20" ht="22.5" customHeight="1" x14ac:dyDescent="0.25">
      <c r="B16" s="154" t="s">
        <v>60</v>
      </c>
      <c r="C16" s="519">
        <f>FGP!E16</f>
        <v>2.4906650861521529</v>
      </c>
      <c r="D16" s="464">
        <f t="shared" si="0"/>
        <v>34296.458236315142</v>
      </c>
      <c r="E16" s="501">
        <f>FGP!K16</f>
        <v>3.8332367012619861</v>
      </c>
      <c r="F16" s="464">
        <f t="shared" si="1"/>
        <v>26391.834688188774</v>
      </c>
      <c r="G16" s="501">
        <f>FGP!Q16</f>
        <v>5.3425026074477584</v>
      </c>
      <c r="H16" s="501">
        <f t="shared" si="3"/>
        <v>0.53425026074477588</v>
      </c>
      <c r="I16" s="464">
        <f t="shared" si="4"/>
        <v>12261.043484092606</v>
      </c>
      <c r="J16" s="502">
        <f t="shared" si="2"/>
        <v>72949.336408596515</v>
      </c>
      <c r="K16" s="148"/>
      <c r="L16" s="167"/>
      <c r="M16" s="124"/>
      <c r="N16" s="124"/>
      <c r="O16" s="167"/>
      <c r="P16" s="168"/>
      <c r="Q16" s="169"/>
      <c r="R16" s="170"/>
      <c r="S16" s="159"/>
      <c r="T16" s="159"/>
    </row>
    <row r="17" spans="2:20" ht="22.5" customHeight="1" x14ac:dyDescent="0.25">
      <c r="B17" s="154" t="s">
        <v>61</v>
      </c>
      <c r="C17" s="519">
        <f>FGP!E17</f>
        <v>1.5731764108208799</v>
      </c>
      <c r="D17" s="464">
        <f t="shared" si="0"/>
        <v>21662.639177003515</v>
      </c>
      <c r="E17" s="501">
        <f>FGP!K17</f>
        <v>2.64010558171129</v>
      </c>
      <c r="F17" s="464">
        <f t="shared" si="1"/>
        <v>18177.126930082231</v>
      </c>
      <c r="G17" s="501">
        <f>FGP!Q17</f>
        <v>8.1382848061713329</v>
      </c>
      <c r="H17" s="501">
        <f t="shared" si="3"/>
        <v>0.81382848061713331</v>
      </c>
      <c r="I17" s="464">
        <f t="shared" si="4"/>
        <v>18677.363630163207</v>
      </c>
      <c r="J17" s="502">
        <f t="shared" si="2"/>
        <v>58517.12973724895</v>
      </c>
      <c r="K17" s="148"/>
      <c r="L17" s="167"/>
      <c r="M17" s="124"/>
      <c r="N17" s="124"/>
      <c r="O17" s="167"/>
      <c r="P17" s="168"/>
      <c r="Q17" s="169"/>
      <c r="R17" s="170"/>
      <c r="S17" s="159"/>
      <c r="T17" s="159"/>
    </row>
    <row r="18" spans="2:20" ht="22.5" customHeight="1" x14ac:dyDescent="0.25">
      <c r="B18" s="154" t="s">
        <v>62</v>
      </c>
      <c r="C18" s="519">
        <f>FGP!E18</f>
        <v>1.212057067863342</v>
      </c>
      <c r="D18" s="464">
        <f t="shared" si="0"/>
        <v>16690.02582447822</v>
      </c>
      <c r="E18" s="501">
        <f>FGP!K18</f>
        <v>15.172054718473602</v>
      </c>
      <c r="F18" s="464">
        <f t="shared" si="1"/>
        <v>104459.59673669076</v>
      </c>
      <c r="G18" s="501">
        <f>FGP!Q18</f>
        <v>2.676255660862763</v>
      </c>
      <c r="H18" s="501">
        <f t="shared" si="3"/>
        <v>0.2676255660862763</v>
      </c>
      <c r="I18" s="464">
        <f t="shared" si="4"/>
        <v>6142.0067416800412</v>
      </c>
      <c r="J18" s="502">
        <f t="shared" si="2"/>
        <v>127291.62930284902</v>
      </c>
      <c r="K18" s="148"/>
      <c r="L18" s="167"/>
      <c r="M18" s="124"/>
      <c r="N18" s="124"/>
      <c r="O18" s="167"/>
      <c r="P18" s="168"/>
      <c r="Q18" s="169"/>
      <c r="R18" s="170"/>
      <c r="S18" s="159"/>
      <c r="T18" s="159"/>
    </row>
    <row r="19" spans="2:20" ht="22.5" customHeight="1" x14ac:dyDescent="0.25">
      <c r="B19" s="154" t="s">
        <v>63</v>
      </c>
      <c r="C19" s="519">
        <f>FGP!E19</f>
        <v>2.8704119215951907</v>
      </c>
      <c r="D19" s="464">
        <f t="shared" si="0"/>
        <v>39525.57216036578</v>
      </c>
      <c r="E19" s="501">
        <f>FGP!K19</f>
        <v>4.1290735754777925</v>
      </c>
      <c r="F19" s="464">
        <f t="shared" si="1"/>
        <v>28428.671567164605</v>
      </c>
      <c r="G19" s="501">
        <f>FGP!Q19</f>
        <v>4.7712599744430806</v>
      </c>
      <c r="H19" s="501">
        <f t="shared" si="3"/>
        <v>0.47712599744430806</v>
      </c>
      <c r="I19" s="464">
        <f t="shared" si="4"/>
        <v>10950.04164134687</v>
      </c>
      <c r="J19" s="502">
        <f t="shared" si="2"/>
        <v>78904.285368877259</v>
      </c>
      <c r="K19" s="148"/>
      <c r="L19" s="167"/>
      <c r="M19" s="124"/>
      <c r="N19" s="124"/>
      <c r="O19" s="167"/>
      <c r="P19" s="168"/>
      <c r="Q19" s="169"/>
      <c r="R19" s="170"/>
      <c r="S19" s="159"/>
      <c r="T19" s="159"/>
    </row>
    <row r="20" spans="2:20" ht="22.5" customHeight="1" x14ac:dyDescent="0.25">
      <c r="B20" s="154" t="s">
        <v>64</v>
      </c>
      <c r="C20" s="519">
        <f>FGP!E20</f>
        <v>2.0950002116760511</v>
      </c>
      <c r="D20" s="464">
        <f t="shared" si="0"/>
        <v>28848.152914779224</v>
      </c>
      <c r="E20" s="501">
        <f>FGP!K20</f>
        <v>6.3258973764028958</v>
      </c>
      <c r="F20" s="464">
        <f t="shared" si="1"/>
        <v>43553.803436533941</v>
      </c>
      <c r="G20" s="501">
        <f>FGP!Q20</f>
        <v>4.4781574909036959</v>
      </c>
      <c r="H20" s="501">
        <f t="shared" si="3"/>
        <v>0.44781574909036959</v>
      </c>
      <c r="I20" s="464">
        <f t="shared" si="4"/>
        <v>10277.371441623982</v>
      </c>
      <c r="J20" s="502">
        <f t="shared" si="2"/>
        <v>82679.32779293714</v>
      </c>
      <c r="K20" s="148"/>
      <c r="L20" s="167"/>
      <c r="M20" s="124"/>
      <c r="N20" s="124"/>
      <c r="O20" s="167"/>
      <c r="P20" s="168"/>
      <c r="Q20" s="169"/>
      <c r="R20" s="170"/>
      <c r="S20" s="159"/>
      <c r="T20" s="159"/>
    </row>
    <row r="21" spans="2:20" ht="22.5" customHeight="1" x14ac:dyDescent="0.25">
      <c r="B21" s="154" t="s">
        <v>65</v>
      </c>
      <c r="C21" s="519">
        <f>FGP!E21</f>
        <v>3.7237204182718768</v>
      </c>
      <c r="D21" s="464">
        <f t="shared" si="0"/>
        <v>51275.630159603752</v>
      </c>
      <c r="E21" s="501">
        <f>FGP!K21</f>
        <v>6.745007877979198</v>
      </c>
      <c r="F21" s="464">
        <f t="shared" si="1"/>
        <v>46439.379239886774</v>
      </c>
      <c r="G21" s="501">
        <f>FGP!Q21</f>
        <v>3.31809171572782</v>
      </c>
      <c r="H21" s="501">
        <f t="shared" si="3"/>
        <v>0.331809171572782</v>
      </c>
      <c r="I21" s="464">
        <f t="shared" si="4"/>
        <v>7615.0204875953468</v>
      </c>
      <c r="J21" s="502">
        <f t="shared" si="2"/>
        <v>105330.02988708587</v>
      </c>
      <c r="K21" s="148"/>
      <c r="L21" s="167"/>
      <c r="M21" s="124"/>
      <c r="N21" s="124"/>
      <c r="O21" s="167"/>
      <c r="P21" s="168"/>
      <c r="Q21" s="169"/>
      <c r="R21" s="170"/>
      <c r="S21" s="159"/>
      <c r="T21" s="159"/>
    </row>
    <row r="22" spans="2:20" ht="22.5" customHeight="1" x14ac:dyDescent="0.25">
      <c r="B22" s="154" t="s">
        <v>66</v>
      </c>
      <c r="C22" s="519">
        <f>FGP!E22</f>
        <v>0.63494348249439059</v>
      </c>
      <c r="D22" s="464">
        <f t="shared" si="0"/>
        <v>8743.1717539477577</v>
      </c>
      <c r="E22" s="501">
        <f>FGP!K22</f>
        <v>6.9221641260595543</v>
      </c>
      <c r="F22" s="464">
        <f t="shared" si="1"/>
        <v>47659.100007920031</v>
      </c>
      <c r="G22" s="501">
        <f>FGP!Q22</f>
        <v>5.7484805675844752</v>
      </c>
      <c r="H22" s="501">
        <f t="shared" si="3"/>
        <v>0.57484805675844752</v>
      </c>
      <c r="I22" s="464">
        <f t="shared" si="4"/>
        <v>13192.762902606371</v>
      </c>
      <c r="J22" s="502">
        <f t="shared" si="2"/>
        <v>69595.034664474151</v>
      </c>
      <c r="K22" s="148"/>
      <c r="L22" s="167"/>
      <c r="M22" s="124"/>
      <c r="N22" s="124"/>
      <c r="O22" s="167"/>
      <c r="P22" s="168"/>
      <c r="Q22" s="169"/>
      <c r="R22" s="170"/>
      <c r="S22" s="159"/>
      <c r="T22" s="159"/>
    </row>
    <row r="23" spans="2:20" ht="22.5" customHeight="1" x14ac:dyDescent="0.25">
      <c r="B23" s="154" t="s">
        <v>67</v>
      </c>
      <c r="C23" s="519">
        <f>FGP!E23</f>
        <v>1.9878074594640365</v>
      </c>
      <c r="D23" s="464">
        <f t="shared" si="0"/>
        <v>27372.108716819781</v>
      </c>
      <c r="E23" s="501">
        <f>FGP!K23</f>
        <v>4.6493297813419261</v>
      </c>
      <c r="F23" s="464">
        <f t="shared" si="1"/>
        <v>32010.63554453916</v>
      </c>
      <c r="G23" s="501">
        <f>FGP!Q23</f>
        <v>5.4599592393996872</v>
      </c>
      <c r="H23" s="501">
        <f t="shared" si="3"/>
        <v>0.54599592393996876</v>
      </c>
      <c r="I23" s="464">
        <f t="shared" si="4"/>
        <v>12530.606454422283</v>
      </c>
      <c r="J23" s="502">
        <f t="shared" si="2"/>
        <v>71913.350715781213</v>
      </c>
      <c r="K23" s="148"/>
      <c r="L23" s="167"/>
      <c r="M23" s="124"/>
      <c r="N23" s="124"/>
      <c r="O23" s="167"/>
      <c r="P23" s="168"/>
      <c r="Q23" s="169"/>
      <c r="R23" s="170"/>
      <c r="S23" s="159"/>
      <c r="T23" s="159"/>
    </row>
    <row r="24" spans="2:20" ht="22.5" customHeight="1" x14ac:dyDescent="0.25">
      <c r="B24" s="154" t="s">
        <v>68</v>
      </c>
      <c r="C24" s="519">
        <f>FGP!E24</f>
        <v>8.2824605224164927</v>
      </c>
      <c r="D24" s="464">
        <f t="shared" si="0"/>
        <v>114049.4813936751</v>
      </c>
      <c r="E24" s="501">
        <f>FGP!K24</f>
        <v>4.4890715578863984</v>
      </c>
      <c r="F24" s="464">
        <f t="shared" si="1"/>
        <v>30907.257676047855</v>
      </c>
      <c r="G24" s="501">
        <f>FGP!Q24</f>
        <v>2.2367181082541108</v>
      </c>
      <c r="H24" s="501">
        <f t="shared" si="3"/>
        <v>0.2236718108254111</v>
      </c>
      <c r="I24" s="464">
        <f t="shared" si="4"/>
        <v>5133.2680584431837</v>
      </c>
      <c r="J24" s="502">
        <f t="shared" si="2"/>
        <v>150090.00712816612</v>
      </c>
      <c r="K24" s="148"/>
      <c r="L24" s="167"/>
      <c r="M24" s="124"/>
      <c r="N24" s="124"/>
      <c r="O24" s="167"/>
      <c r="P24" s="168"/>
      <c r="Q24" s="169"/>
      <c r="R24" s="170"/>
      <c r="S24" s="159"/>
      <c r="T24" s="159"/>
    </row>
    <row r="25" spans="2:20" ht="22.5" customHeight="1" x14ac:dyDescent="0.25">
      <c r="B25" s="154" t="s">
        <v>69</v>
      </c>
      <c r="C25" s="519">
        <f>FGP!E25</f>
        <v>3.3629397569958934</v>
      </c>
      <c r="D25" s="464">
        <f t="shared" si="0"/>
        <v>46307.680453833455</v>
      </c>
      <c r="E25" s="501">
        <f>FGP!K25</f>
        <v>1.6883569240188554</v>
      </c>
      <c r="F25" s="464">
        <f t="shared" si="1"/>
        <v>11624.337421869819</v>
      </c>
      <c r="G25" s="501">
        <f>FGP!Q25</f>
        <v>5.5966868595249943</v>
      </c>
      <c r="H25" s="501">
        <f t="shared" si="3"/>
        <v>0.55966868595249941</v>
      </c>
      <c r="I25" s="464">
        <f t="shared" si="4"/>
        <v>12844.396342609862</v>
      </c>
      <c r="J25" s="502">
        <f t="shared" si="2"/>
        <v>70776.414218313133</v>
      </c>
      <c r="K25" s="148"/>
      <c r="L25" s="167"/>
      <c r="M25" s="124"/>
      <c r="N25" s="124"/>
      <c r="O25" s="167"/>
      <c r="P25" s="168"/>
      <c r="Q25" s="169"/>
      <c r="R25" s="170"/>
      <c r="S25" s="159"/>
      <c r="T25" s="159"/>
    </row>
    <row r="26" spans="2:20" ht="22.5" customHeight="1" x14ac:dyDescent="0.25">
      <c r="B26" s="154" t="s">
        <v>70</v>
      </c>
      <c r="C26" s="519">
        <f>FGP!E26</f>
        <v>35.020363236103471</v>
      </c>
      <c r="D26" s="464">
        <f t="shared" si="0"/>
        <v>482230.40176114475</v>
      </c>
      <c r="E26" s="501">
        <f>FGP!K26</f>
        <v>7.7759124214141311</v>
      </c>
      <c r="F26" s="464">
        <f t="shared" si="1"/>
        <v>53537.157021436287</v>
      </c>
      <c r="G26" s="501">
        <f>FGP!Q26</f>
        <v>0.60516423190581725</v>
      </c>
      <c r="H26" s="501">
        <f t="shared" si="3"/>
        <v>6.0516423190581731E-2</v>
      </c>
      <c r="I26" s="464">
        <f t="shared" si="4"/>
        <v>1388.8519122238506</v>
      </c>
      <c r="J26" s="502">
        <f t="shared" si="2"/>
        <v>537156.41069480486</v>
      </c>
      <c r="K26" s="148"/>
      <c r="L26" s="167"/>
      <c r="M26" s="124"/>
      <c r="N26" s="124"/>
      <c r="O26" s="167"/>
      <c r="P26" s="168"/>
      <c r="Q26" s="169"/>
      <c r="R26" s="170"/>
      <c r="S26" s="159"/>
      <c r="T26" s="159"/>
    </row>
    <row r="27" spans="2:20" ht="22.5" customHeight="1" x14ac:dyDescent="0.25">
      <c r="B27" s="154" t="s">
        <v>71</v>
      </c>
      <c r="C27" s="519">
        <f>FGP!E27</f>
        <v>2.5879513991786967</v>
      </c>
      <c r="D27" s="464">
        <f t="shared" si="0"/>
        <v>35636.09076669065</v>
      </c>
      <c r="E27" s="501">
        <f>FGP!K27</f>
        <v>4.8707157425733385</v>
      </c>
      <c r="F27" s="464">
        <f t="shared" si="1"/>
        <v>33534.877887617433</v>
      </c>
      <c r="G27" s="501">
        <f>FGP!Q27</f>
        <v>4.6873329880789818</v>
      </c>
      <c r="H27" s="501">
        <f t="shared" si="3"/>
        <v>0.46873329880789821</v>
      </c>
      <c r="I27" s="464">
        <f t="shared" si="4"/>
        <v>10757.429207641264</v>
      </c>
      <c r="J27" s="502">
        <f t="shared" si="2"/>
        <v>79928.397861949357</v>
      </c>
      <c r="K27" s="148"/>
      <c r="L27" s="167"/>
      <c r="M27" s="124"/>
      <c r="N27" s="124"/>
      <c r="O27" s="167"/>
      <c r="P27" s="168"/>
      <c r="Q27" s="169"/>
      <c r="R27" s="170"/>
      <c r="S27" s="159"/>
      <c r="T27" s="159"/>
    </row>
    <row r="28" spans="2:20" ht="22.5" customHeight="1" thickBot="1" x14ac:dyDescent="0.3">
      <c r="B28" s="154" t="s">
        <v>72</v>
      </c>
      <c r="C28" s="519">
        <f>FGP!E28</f>
        <v>4.8616061978747727</v>
      </c>
      <c r="D28" s="464">
        <f t="shared" si="0"/>
        <v>66944.317344735624</v>
      </c>
      <c r="E28" s="501">
        <f>FGP!K28</f>
        <v>3.821367857828343</v>
      </c>
      <c r="F28" s="464">
        <f t="shared" si="1"/>
        <v>26310.117701148138</v>
      </c>
      <c r="G28" s="501">
        <f>FGP!Q28</f>
        <v>3.4768036826472288</v>
      </c>
      <c r="H28" s="501">
        <f t="shared" si="3"/>
        <v>0.34768036826472293</v>
      </c>
      <c r="I28" s="464">
        <f t="shared" si="4"/>
        <v>7979.2644516753908</v>
      </c>
      <c r="J28" s="502">
        <f t="shared" si="2"/>
        <v>101233.69949755915</v>
      </c>
      <c r="K28" s="148"/>
      <c r="L28" s="167"/>
      <c r="M28" s="124"/>
      <c r="N28" s="124"/>
      <c r="O28" s="167"/>
      <c r="P28" s="168"/>
      <c r="Q28" s="169"/>
      <c r="R28" s="170"/>
      <c r="S28" s="159"/>
      <c r="T28" s="159"/>
    </row>
    <row r="29" spans="2:20" ht="15.75" thickBot="1" x14ac:dyDescent="0.3">
      <c r="B29" s="517" t="s">
        <v>73</v>
      </c>
      <c r="C29" s="520">
        <f>SUM(C9:C28)</f>
        <v>100.00000000000001</v>
      </c>
      <c r="D29" s="73">
        <f>Datos!K63*'FOCO ISAN'!C7</f>
        <v>1377000</v>
      </c>
      <c r="E29" s="218">
        <f>SUM(E9:E28)</f>
        <v>99.999999999999986</v>
      </c>
      <c r="F29" s="73">
        <f>Datos!K63*'FOCO ISAN'!E7</f>
        <v>688500</v>
      </c>
      <c r="G29" s="218">
        <v>99.999999999999972</v>
      </c>
      <c r="H29" s="219">
        <f t="shared" si="3"/>
        <v>9.9999999999999982</v>
      </c>
      <c r="I29" s="73">
        <f>Datos!K63*'FOCO ISAN'!G7</f>
        <v>229500</v>
      </c>
      <c r="J29" s="212">
        <f>SUM(J9:J28)</f>
        <v>2294999.9999999995</v>
      </c>
      <c r="K29" s="217"/>
      <c r="L29" s="172"/>
      <c r="M29" s="171"/>
      <c r="N29" s="171"/>
      <c r="O29" s="172"/>
      <c r="P29" s="151"/>
      <c r="Q29" s="169"/>
      <c r="R29" s="170"/>
      <c r="S29" s="159"/>
      <c r="T29" s="159"/>
    </row>
    <row r="30" spans="2:20" x14ac:dyDescent="0.25">
      <c r="B30" s="736" t="s">
        <v>378</v>
      </c>
      <c r="C30" s="736"/>
      <c r="D30" s="736"/>
      <c r="E30" s="736"/>
      <c r="F30" s="736"/>
      <c r="G30" s="736"/>
      <c r="H30" s="11"/>
      <c r="I30" s="11"/>
      <c r="J30" s="11"/>
      <c r="K30" s="167"/>
      <c r="L30" s="158"/>
      <c r="M30" s="158"/>
      <c r="N30" s="159"/>
      <c r="O30" s="159"/>
      <c r="P30" s="159"/>
      <c r="Q30" s="159"/>
      <c r="R30" s="159"/>
      <c r="S30" s="159"/>
      <c r="T30" s="159"/>
    </row>
    <row r="31" spans="2:20" ht="27" customHeight="1" x14ac:dyDescent="0.25">
      <c r="B31" s="716" t="s">
        <v>386</v>
      </c>
      <c r="C31" s="716"/>
      <c r="D31" s="716"/>
      <c r="E31" s="716"/>
      <c r="F31" s="716"/>
      <c r="G31" s="716"/>
      <c r="H31" s="716"/>
      <c r="I31" s="716"/>
      <c r="J31" s="716"/>
      <c r="K31" s="616"/>
      <c r="L31" s="616"/>
      <c r="M31" s="616"/>
      <c r="N31" s="616"/>
      <c r="O31" s="616"/>
      <c r="P31" s="616"/>
      <c r="Q31" s="616"/>
      <c r="R31" s="616"/>
      <c r="S31" s="616"/>
      <c r="T31" s="616"/>
    </row>
    <row r="32" spans="2:20" x14ac:dyDescent="0.25">
      <c r="B32" s="783"/>
      <c r="C32" s="783"/>
      <c r="D32" s="783"/>
      <c r="E32" s="783"/>
      <c r="F32" s="783"/>
      <c r="G32" s="783"/>
      <c r="H32" s="783"/>
      <c r="I32" s="783"/>
      <c r="J32" s="783"/>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31"/>
  <sheetViews>
    <sheetView workbookViewId="0">
      <selection activeCell="T26" sqref="T26"/>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2" hidden="1" customWidth="1"/>
    <col min="19" max="19" width="15.85546875" customWidth="1"/>
    <col min="20" max="20" width="14.7109375" customWidth="1"/>
    <col min="21" max="21" width="15.140625" customWidth="1"/>
  </cols>
  <sheetData>
    <row r="2" spans="2:25" x14ac:dyDescent="0.25">
      <c r="B2" s="727" t="s">
        <v>338</v>
      </c>
      <c r="C2" s="727"/>
      <c r="D2" s="727"/>
      <c r="E2" s="727"/>
      <c r="F2" s="727"/>
      <c r="G2" s="727"/>
      <c r="H2" s="727"/>
      <c r="I2" s="727"/>
      <c r="J2" s="727"/>
      <c r="K2" s="790"/>
      <c r="L2" s="790"/>
      <c r="M2" s="11"/>
      <c r="N2" s="11"/>
      <c r="O2" s="11"/>
      <c r="P2" s="11"/>
      <c r="S2" s="193"/>
    </row>
    <row r="3" spans="2:25" x14ac:dyDescent="0.25">
      <c r="B3" s="669" t="s">
        <v>332</v>
      </c>
      <c r="C3" s="669"/>
      <c r="D3" s="669"/>
      <c r="E3" s="669"/>
      <c r="F3" s="669"/>
      <c r="G3" s="669"/>
      <c r="H3" s="669"/>
      <c r="I3" s="669"/>
      <c r="J3" s="669"/>
      <c r="K3" s="11"/>
      <c r="L3" s="11"/>
      <c r="M3" s="11"/>
      <c r="N3" s="193" t="s">
        <v>182</v>
      </c>
      <c r="O3" s="11"/>
      <c r="P3" s="11"/>
      <c r="Q3" s="79"/>
      <c r="R3" s="79"/>
    </row>
    <row r="4" spans="2:25" ht="15.75" thickBot="1" x14ac:dyDescent="0.3">
      <c r="M4" s="194"/>
      <c r="N4" s="194"/>
      <c r="O4" s="194"/>
      <c r="P4" s="194"/>
      <c r="Q4" s="194"/>
      <c r="R4" s="194"/>
      <c r="S4" s="194"/>
    </row>
    <row r="5" spans="2:25" ht="15" customHeight="1" x14ac:dyDescent="0.25">
      <c r="B5" s="675" t="s">
        <v>93</v>
      </c>
      <c r="C5" s="391" t="s">
        <v>149</v>
      </c>
      <c r="D5" s="785" t="s">
        <v>287</v>
      </c>
      <c r="E5" s="499" t="s">
        <v>150</v>
      </c>
      <c r="F5" s="785" t="s">
        <v>288</v>
      </c>
      <c r="G5" s="499" t="s">
        <v>37</v>
      </c>
      <c r="H5" s="499" t="s">
        <v>37</v>
      </c>
      <c r="I5" s="785" t="s">
        <v>289</v>
      </c>
      <c r="J5" s="788" t="s">
        <v>290</v>
      </c>
      <c r="K5" s="202"/>
      <c r="L5" s="108" t="s">
        <v>151</v>
      </c>
      <c r="M5" s="108"/>
      <c r="N5" s="108" t="s">
        <v>32</v>
      </c>
      <c r="O5" s="784"/>
      <c r="P5" s="784"/>
      <c r="Q5" s="194"/>
      <c r="R5" s="194"/>
      <c r="S5" s="194"/>
      <c r="T5" s="194"/>
      <c r="U5" s="151"/>
      <c r="V5" s="151"/>
      <c r="W5" s="159"/>
      <c r="X5" s="159"/>
      <c r="Y5" s="159"/>
    </row>
    <row r="6" spans="2:25" x14ac:dyDescent="0.25">
      <c r="B6" s="676"/>
      <c r="C6" s="392" t="s">
        <v>41</v>
      </c>
      <c r="D6" s="786"/>
      <c r="E6" s="390" t="s">
        <v>41</v>
      </c>
      <c r="F6" s="786"/>
      <c r="G6" s="390" t="s">
        <v>41</v>
      </c>
      <c r="H6" s="390" t="s">
        <v>152</v>
      </c>
      <c r="I6" s="786"/>
      <c r="J6" s="789"/>
      <c r="K6" s="203"/>
      <c r="L6" s="25" t="s">
        <v>153</v>
      </c>
      <c r="M6" s="25"/>
      <c r="N6" s="25" t="s">
        <v>183</v>
      </c>
      <c r="O6" s="784"/>
      <c r="P6" s="784"/>
      <c r="Q6" s="194"/>
      <c r="R6" s="194"/>
      <c r="S6" s="194"/>
      <c r="T6" s="194"/>
      <c r="U6" s="151"/>
      <c r="V6" s="151"/>
      <c r="W6" s="159"/>
      <c r="X6" s="159"/>
      <c r="Y6" s="159"/>
    </row>
    <row r="7" spans="2:25" x14ac:dyDescent="0.25">
      <c r="B7" s="676"/>
      <c r="C7" s="518">
        <v>0.6</v>
      </c>
      <c r="D7" s="500" t="s">
        <v>52</v>
      </c>
      <c r="E7" s="500">
        <v>0.3</v>
      </c>
      <c r="F7" s="500" t="s">
        <v>52</v>
      </c>
      <c r="G7" s="500">
        <v>0.1</v>
      </c>
      <c r="H7" s="500"/>
      <c r="I7" s="500" t="s">
        <v>52</v>
      </c>
      <c r="J7" s="789"/>
      <c r="K7" s="204"/>
      <c r="L7" s="25" t="s">
        <v>40</v>
      </c>
      <c r="M7" s="25"/>
      <c r="N7" s="142"/>
      <c r="O7" s="194"/>
      <c r="P7" s="194"/>
      <c r="Q7" s="194"/>
      <c r="R7" s="194"/>
      <c r="S7" s="194"/>
      <c r="T7" s="194"/>
      <c r="U7" s="151"/>
      <c r="V7" s="151"/>
      <c r="W7" s="159"/>
      <c r="X7" s="159"/>
      <c r="Y7" s="159"/>
    </row>
    <row r="8" spans="2:25" ht="15.75" thickBot="1" x14ac:dyDescent="0.3">
      <c r="B8" s="677"/>
      <c r="C8" s="621">
        <v>1</v>
      </c>
      <c r="D8" s="622" t="s">
        <v>107</v>
      </c>
      <c r="E8" s="622" t="s">
        <v>81</v>
      </c>
      <c r="F8" s="622" t="s">
        <v>108</v>
      </c>
      <c r="G8" s="622" t="s">
        <v>83</v>
      </c>
      <c r="H8" s="622" t="s">
        <v>389</v>
      </c>
      <c r="I8" s="622" t="s">
        <v>84</v>
      </c>
      <c r="J8" s="624" t="s">
        <v>391</v>
      </c>
      <c r="K8" s="205"/>
      <c r="L8" s="143" t="s">
        <v>184</v>
      </c>
      <c r="M8" s="143"/>
      <c r="N8" s="143" t="s">
        <v>185</v>
      </c>
      <c r="O8" s="165"/>
      <c r="P8" s="165"/>
      <c r="Q8" s="165"/>
      <c r="R8" s="165"/>
      <c r="S8" s="165"/>
      <c r="T8" s="194"/>
      <c r="U8" s="165"/>
      <c r="V8" s="165"/>
      <c r="W8" s="159"/>
      <c r="X8" s="159"/>
      <c r="Y8" s="159"/>
    </row>
    <row r="9" spans="2:25" ht="22.5" customHeight="1" x14ac:dyDescent="0.25">
      <c r="B9" s="154" t="s">
        <v>53</v>
      </c>
      <c r="C9" s="519">
        <f>FGP!E9</f>
        <v>3.1589687142796663</v>
      </c>
      <c r="D9" s="464">
        <f t="shared" ref="D9:D28" si="0">C9*$D$29/100</f>
        <v>155231.72261970281</v>
      </c>
      <c r="E9" s="501">
        <f>FGP!K9</f>
        <v>4.7947430769572916</v>
      </c>
      <c r="F9" s="464">
        <f t="shared" ref="F9:F28" si="1">E9*$F$29/100</f>
        <v>117806.83740084065</v>
      </c>
      <c r="G9" s="501">
        <f>FGP!Q9</f>
        <v>4.2376676340305943</v>
      </c>
      <c r="H9" s="501">
        <f>G9*10%</f>
        <v>0.42376676340305947</v>
      </c>
      <c r="I9" s="464">
        <f>G9*$I$29/100</f>
        <v>34706.497922710565</v>
      </c>
      <c r="J9" s="502">
        <f t="shared" ref="J9:J28" si="2">D9+F9+I9</f>
        <v>307745.05794325401</v>
      </c>
      <c r="K9" s="206"/>
      <c r="L9" s="207" t="e">
        <f>#REF!+#REF!+H9</f>
        <v>#REF!</v>
      </c>
      <c r="M9" s="167"/>
      <c r="N9" s="208" t="e">
        <f>[1]Datos!K$64*L9%*22.5%</f>
        <v>#REF!</v>
      </c>
      <c r="O9" s="209"/>
      <c r="P9" s="148"/>
      <c r="Q9" s="167"/>
      <c r="R9" s="124"/>
      <c r="S9" s="124"/>
      <c r="T9" s="167"/>
      <c r="U9" s="168"/>
      <c r="V9" s="169"/>
      <c r="W9" s="170"/>
      <c r="X9" s="159"/>
      <c r="Y9" s="159"/>
    </row>
    <row r="10" spans="2:25" ht="22.5" customHeight="1" x14ac:dyDescent="0.25">
      <c r="B10" s="154" t="s">
        <v>54</v>
      </c>
      <c r="C10" s="519">
        <f>FGP!E10</f>
        <v>1.3507472164599297</v>
      </c>
      <c r="D10" s="464">
        <f t="shared" si="0"/>
        <v>66375.718216840934</v>
      </c>
      <c r="E10" s="501">
        <f>FGP!K10</f>
        <v>6.1353400130537059</v>
      </c>
      <c r="F10" s="464">
        <f t="shared" si="1"/>
        <v>150745.30412072956</v>
      </c>
      <c r="G10" s="501">
        <f>FGP!Q10</f>
        <v>5.3290402568317408</v>
      </c>
      <c r="H10" s="501">
        <f t="shared" ref="H10:H29" si="3">G10*10%</f>
        <v>0.53290402568317408</v>
      </c>
      <c r="I10" s="464">
        <f t="shared" ref="I10:I28" si="4">G10*$I$29/100</f>
        <v>43644.839703451951</v>
      </c>
      <c r="J10" s="502">
        <f t="shared" si="2"/>
        <v>260765.86204102245</v>
      </c>
      <c r="K10" s="166"/>
      <c r="L10" s="210" t="e">
        <f>#REF!+#REF!+H10</f>
        <v>#REF!</v>
      </c>
      <c r="M10" s="210"/>
      <c r="N10" s="208" t="e">
        <f>[1]Datos!K$64*L10%*22.5%</f>
        <v>#REF!</v>
      </c>
      <c r="O10" s="209"/>
      <c r="P10" s="148"/>
      <c r="Q10" s="167"/>
      <c r="R10" s="211"/>
      <c r="S10" s="124"/>
      <c r="T10" s="167"/>
      <c r="U10" s="168"/>
      <c r="V10" s="169"/>
      <c r="W10" s="170"/>
      <c r="X10" s="159"/>
      <c r="Y10" s="159"/>
    </row>
    <row r="11" spans="2:25" ht="22.5" customHeight="1" x14ac:dyDescent="0.25">
      <c r="B11" s="154" t="s">
        <v>55</v>
      </c>
      <c r="C11" s="519">
        <f>FGP!E11</f>
        <v>1.0034291520257399</v>
      </c>
      <c r="D11" s="464">
        <f t="shared" si="0"/>
        <v>49308.508530544859</v>
      </c>
      <c r="E11" s="501">
        <f>FGP!K11</f>
        <v>1.2118270270268003</v>
      </c>
      <c r="F11" s="464">
        <f t="shared" si="1"/>
        <v>29774.590054048487</v>
      </c>
      <c r="G11" s="501">
        <f>FGP!Q11</f>
        <v>14.630770535675348</v>
      </c>
      <c r="H11" s="501">
        <f t="shared" si="3"/>
        <v>1.4630770535675348</v>
      </c>
      <c r="I11" s="464">
        <f t="shared" si="4"/>
        <v>119826.01068718109</v>
      </c>
      <c r="J11" s="502">
        <f t="shared" si="2"/>
        <v>198909.10927177442</v>
      </c>
      <c r="K11" s="166"/>
      <c r="L11" s="210" t="e">
        <f>#REF!+#REF!+H11</f>
        <v>#REF!</v>
      </c>
      <c r="M11" s="210"/>
      <c r="N11" s="208" t="e">
        <f>[1]Datos!K$64*L11%*22.5%</f>
        <v>#REF!</v>
      </c>
      <c r="O11" s="209"/>
      <c r="P11" s="148"/>
      <c r="Q11" s="167"/>
      <c r="R11" s="124"/>
      <c r="S11" s="124"/>
      <c r="T11" s="167"/>
      <c r="U11" s="168"/>
      <c r="V11" s="169"/>
      <c r="W11" s="170"/>
      <c r="X11" s="159"/>
      <c r="Y11" s="159"/>
    </row>
    <row r="12" spans="2:25" ht="22.5" customHeight="1" x14ac:dyDescent="0.25">
      <c r="B12" s="154" t="s">
        <v>56</v>
      </c>
      <c r="C12" s="519">
        <f>FGP!E12</f>
        <v>12.721730663392744</v>
      </c>
      <c r="D12" s="464">
        <f t="shared" si="0"/>
        <v>625145.84479911951</v>
      </c>
      <c r="E12" s="501">
        <f>FGP!K12</f>
        <v>5.3541753001411196</v>
      </c>
      <c r="F12" s="464">
        <f t="shared" si="1"/>
        <v>131552.0871244673</v>
      </c>
      <c r="G12" s="501">
        <f>FGP!Q12</f>
        <v>1.5290733855979646</v>
      </c>
      <c r="H12" s="501">
        <f t="shared" si="3"/>
        <v>0.15290733855979646</v>
      </c>
      <c r="I12" s="464">
        <f t="shared" si="4"/>
        <v>12523.111028047329</v>
      </c>
      <c r="J12" s="502">
        <f t="shared" si="2"/>
        <v>769221.04295163415</v>
      </c>
      <c r="K12" s="166"/>
      <c r="L12" s="210" t="e">
        <f>#REF!+#REF!+H12</f>
        <v>#REF!</v>
      </c>
      <c r="M12" s="210"/>
      <c r="N12" s="208" t="e">
        <f>[1]Datos!K$64*L12%*22.5%</f>
        <v>#REF!</v>
      </c>
      <c r="O12" s="209"/>
      <c r="P12" s="148"/>
      <c r="Q12" s="167"/>
      <c r="R12" s="124"/>
      <c r="S12" s="124"/>
      <c r="T12" s="167"/>
      <c r="U12" s="168"/>
      <c r="V12" s="169"/>
      <c r="W12" s="170"/>
      <c r="X12" s="159"/>
      <c r="Y12" s="159"/>
    </row>
    <row r="13" spans="2:25" ht="22.5" customHeight="1" x14ac:dyDescent="0.25">
      <c r="B13" s="154" t="s">
        <v>57</v>
      </c>
      <c r="C13" s="519">
        <f>FGP!E13</f>
        <v>6.3943101477498834</v>
      </c>
      <c r="D13" s="464">
        <f t="shared" si="0"/>
        <v>314216.40066042927</v>
      </c>
      <c r="E13" s="501">
        <f>FGP!K13</f>
        <v>4.7040553377568894</v>
      </c>
      <c r="F13" s="464">
        <f t="shared" si="1"/>
        <v>115578.63964868677</v>
      </c>
      <c r="G13" s="501">
        <f>FGP!Q13</f>
        <v>2.6920893917463751</v>
      </c>
      <c r="H13" s="501">
        <f t="shared" si="3"/>
        <v>0.26920893917463751</v>
      </c>
      <c r="I13" s="464">
        <f t="shared" si="4"/>
        <v>22048.212118402811</v>
      </c>
      <c r="J13" s="502">
        <f t="shared" si="2"/>
        <v>451843.25242751883</v>
      </c>
      <c r="K13" s="166"/>
      <c r="L13" s="210" t="e">
        <f>#REF!+#REF!+H13</f>
        <v>#REF!</v>
      </c>
      <c r="M13" s="210"/>
      <c r="N13" s="208" t="e">
        <f>[1]Datos!K$64*L13%*22.5%</f>
        <v>#REF!</v>
      </c>
      <c r="O13" s="209"/>
      <c r="P13" s="148"/>
      <c r="Q13" s="167"/>
      <c r="R13" s="124"/>
      <c r="S13" s="124"/>
      <c r="T13" s="167"/>
      <c r="U13" s="168"/>
      <c r="V13" s="169"/>
      <c r="W13" s="170"/>
      <c r="X13" s="159"/>
      <c r="Y13" s="159"/>
    </row>
    <row r="14" spans="2:25" ht="22.5" customHeight="1" x14ac:dyDescent="0.25">
      <c r="B14" s="154" t="s">
        <v>58</v>
      </c>
      <c r="C14" s="519">
        <f>FGP!E14</f>
        <v>3.5996782524025233</v>
      </c>
      <c r="D14" s="464">
        <f t="shared" si="0"/>
        <v>176888.18932305998</v>
      </c>
      <c r="E14" s="501">
        <f>FGP!K14</f>
        <v>2.17482674496088</v>
      </c>
      <c r="F14" s="464">
        <f t="shared" si="1"/>
        <v>53435.493123688822</v>
      </c>
      <c r="G14" s="501">
        <f>FGP!Q14</f>
        <v>5.0235679472903874</v>
      </c>
      <c r="H14" s="501">
        <f t="shared" si="3"/>
        <v>0.50235679472903871</v>
      </c>
      <c r="I14" s="464">
        <f t="shared" si="4"/>
        <v>41143.021488308274</v>
      </c>
      <c r="J14" s="502">
        <f t="shared" si="2"/>
        <v>271466.7039350571</v>
      </c>
      <c r="K14" s="166"/>
      <c r="L14" s="210" t="e">
        <f>#REF!+#REF!+H14</f>
        <v>#REF!</v>
      </c>
      <c r="M14" s="210"/>
      <c r="N14" s="208" t="e">
        <f>[1]Datos!K$64*L14%*22.5%</f>
        <v>#REF!</v>
      </c>
      <c r="O14" s="209"/>
      <c r="P14" s="148"/>
      <c r="Q14" s="167"/>
      <c r="R14" s="124"/>
      <c r="S14" s="124"/>
      <c r="T14" s="167"/>
      <c r="U14" s="168"/>
      <c r="V14" s="169"/>
      <c r="W14" s="170"/>
      <c r="X14" s="159"/>
      <c r="Y14" s="159"/>
    </row>
    <row r="15" spans="2:25" ht="22.5" customHeight="1" x14ac:dyDescent="0.25">
      <c r="B15" s="154" t="s">
        <v>59</v>
      </c>
      <c r="C15" s="519">
        <f>FGP!E15</f>
        <v>1.0680326827822699</v>
      </c>
      <c r="D15" s="464">
        <f t="shared" si="0"/>
        <v>52483.126031920743</v>
      </c>
      <c r="E15" s="501">
        <f>FGP!K15</f>
        <v>2.5627382576739772</v>
      </c>
      <c r="F15" s="464">
        <f t="shared" si="1"/>
        <v>62966.478991049618</v>
      </c>
      <c r="G15" s="501">
        <f>FGP!Q15</f>
        <v>10.022092915875856</v>
      </c>
      <c r="H15" s="501">
        <f t="shared" si="3"/>
        <v>1.0022092915875855</v>
      </c>
      <c r="I15" s="464">
        <f t="shared" si="4"/>
        <v>82080.940981023261</v>
      </c>
      <c r="J15" s="502">
        <f t="shared" si="2"/>
        <v>197530.5460039936</v>
      </c>
      <c r="K15" s="166"/>
      <c r="L15" s="210" t="e">
        <f>#REF!+#REF!+H15</f>
        <v>#REF!</v>
      </c>
      <c r="M15" s="210"/>
      <c r="N15" s="208" t="e">
        <f>[1]Datos!K$64*L15%*22.5%</f>
        <v>#REF!</v>
      </c>
      <c r="O15" s="209"/>
      <c r="P15" s="148"/>
      <c r="Q15" s="167"/>
      <c r="R15" s="124"/>
      <c r="S15" s="124"/>
      <c r="T15" s="167"/>
      <c r="U15" s="168"/>
      <c r="V15" s="169"/>
      <c r="W15" s="170"/>
      <c r="X15" s="159"/>
      <c r="Y15" s="159"/>
    </row>
    <row r="16" spans="2:25" ht="22.5" customHeight="1" x14ac:dyDescent="0.25">
      <c r="B16" s="154" t="s">
        <v>60</v>
      </c>
      <c r="C16" s="519">
        <f>FGP!E16</f>
        <v>2.4906650861521529</v>
      </c>
      <c r="D16" s="464">
        <f t="shared" si="0"/>
        <v>122391.28233351679</v>
      </c>
      <c r="E16" s="501">
        <f>FGP!K16</f>
        <v>3.8332367012619861</v>
      </c>
      <c r="F16" s="464">
        <f t="shared" si="1"/>
        <v>94182.625750006991</v>
      </c>
      <c r="G16" s="501">
        <f>FGP!Q16</f>
        <v>5.3425026074477584</v>
      </c>
      <c r="H16" s="501">
        <f t="shared" si="3"/>
        <v>0.53425026074477588</v>
      </c>
      <c r="I16" s="464">
        <f t="shared" si="4"/>
        <v>43755.096354997142</v>
      </c>
      <c r="J16" s="502">
        <f t="shared" si="2"/>
        <v>260329.00443852093</v>
      </c>
      <c r="K16" s="166"/>
      <c r="L16" s="210" t="e">
        <f>#REF!+#REF!+H16</f>
        <v>#REF!</v>
      </c>
      <c r="M16" s="210"/>
      <c r="N16" s="208" t="e">
        <f>[1]Datos!K$64*L16%*22.5%</f>
        <v>#REF!</v>
      </c>
      <c r="O16" s="209"/>
      <c r="P16" s="148"/>
      <c r="Q16" s="167"/>
      <c r="R16" s="124"/>
      <c r="S16" s="124"/>
      <c r="T16" s="167"/>
      <c r="U16" s="168"/>
      <c r="V16" s="169"/>
      <c r="W16" s="170"/>
      <c r="X16" s="159"/>
      <c r="Y16" s="159"/>
    </row>
    <row r="17" spans="2:25" ht="22.5" customHeight="1" x14ac:dyDescent="0.25">
      <c r="B17" s="154" t="s">
        <v>61</v>
      </c>
      <c r="C17" s="519">
        <f>FGP!E17</f>
        <v>1.5731764108208799</v>
      </c>
      <c r="D17" s="464">
        <f t="shared" si="0"/>
        <v>77305.888827738032</v>
      </c>
      <c r="E17" s="501">
        <f>FGP!K17</f>
        <v>2.64010558171129</v>
      </c>
      <c r="F17" s="464">
        <f t="shared" si="1"/>
        <v>64867.394142646401</v>
      </c>
      <c r="G17" s="501">
        <f>FGP!Q17</f>
        <v>8.1382848061713329</v>
      </c>
      <c r="H17" s="501">
        <f t="shared" si="3"/>
        <v>0.81382848061713331</v>
      </c>
      <c r="I17" s="464">
        <f t="shared" si="4"/>
        <v>66652.55256254322</v>
      </c>
      <c r="J17" s="502">
        <f t="shared" si="2"/>
        <v>208825.83553292765</v>
      </c>
      <c r="K17" s="166"/>
      <c r="L17" s="210" t="e">
        <f>#REF!+#REF!+H17</f>
        <v>#REF!</v>
      </c>
      <c r="M17" s="210"/>
      <c r="N17" s="208" t="e">
        <f>[1]Datos!K$64*L17%*22.5%</f>
        <v>#REF!</v>
      </c>
      <c r="O17" s="209"/>
      <c r="P17" s="148"/>
      <c r="Q17" s="167"/>
      <c r="R17" s="124"/>
      <c r="S17" s="124"/>
      <c r="T17" s="167"/>
      <c r="U17" s="168"/>
      <c r="V17" s="169"/>
      <c r="W17" s="170"/>
      <c r="X17" s="159"/>
      <c r="Y17" s="159"/>
    </row>
    <row r="18" spans="2:25" ht="22.5" customHeight="1" x14ac:dyDescent="0.25">
      <c r="B18" s="154" t="s">
        <v>62</v>
      </c>
      <c r="C18" s="519">
        <f>FGP!E18</f>
        <v>1.212057067863342</v>
      </c>
      <c r="D18" s="464">
        <f t="shared" si="0"/>
        <v>59560.484314804628</v>
      </c>
      <c r="E18" s="501">
        <f>FGP!K18</f>
        <v>15.172054718473602</v>
      </c>
      <c r="F18" s="464">
        <f t="shared" si="1"/>
        <v>372777.38443289639</v>
      </c>
      <c r="G18" s="501">
        <f>FGP!Q18</f>
        <v>2.676255660862763</v>
      </c>
      <c r="H18" s="501">
        <f t="shared" si="3"/>
        <v>0.2676255660862763</v>
      </c>
      <c r="I18" s="464">
        <f t="shared" si="4"/>
        <v>21918.533862466029</v>
      </c>
      <c r="J18" s="502">
        <f t="shared" si="2"/>
        <v>454256.40261016705</v>
      </c>
      <c r="K18" s="166"/>
      <c r="L18" s="210" t="e">
        <f>#REF!+#REF!+H18</f>
        <v>#REF!</v>
      </c>
      <c r="M18" s="210"/>
      <c r="N18" s="208" t="e">
        <f>[1]Datos!K$64*L18%*22.5%</f>
        <v>#REF!</v>
      </c>
      <c r="O18" s="209"/>
      <c r="P18" s="148"/>
      <c r="Q18" s="167"/>
      <c r="R18" s="124"/>
      <c r="S18" s="124"/>
      <c r="T18" s="167"/>
      <c r="U18" s="168"/>
      <c r="V18" s="169"/>
      <c r="W18" s="170"/>
      <c r="X18" s="159"/>
      <c r="Y18" s="159"/>
    </row>
    <row r="19" spans="2:25" ht="22.5" customHeight="1" x14ac:dyDescent="0.25">
      <c r="B19" s="154" t="s">
        <v>63</v>
      </c>
      <c r="C19" s="519">
        <f>FGP!E19</f>
        <v>2.8704119215951907</v>
      </c>
      <c r="D19" s="464">
        <f t="shared" si="0"/>
        <v>141052.04182718767</v>
      </c>
      <c r="E19" s="501">
        <f>FGP!K19</f>
        <v>4.1290735754777925</v>
      </c>
      <c r="F19" s="464">
        <f t="shared" si="1"/>
        <v>101451.33774948936</v>
      </c>
      <c r="G19" s="501">
        <f>FGP!Q19</f>
        <v>4.7712599744430806</v>
      </c>
      <c r="H19" s="501">
        <f t="shared" si="3"/>
        <v>0.47712599744430806</v>
      </c>
      <c r="I19" s="464">
        <f t="shared" si="4"/>
        <v>39076.619190688834</v>
      </c>
      <c r="J19" s="502">
        <f t="shared" si="2"/>
        <v>281579.99876736588</v>
      </c>
      <c r="K19" s="166"/>
      <c r="L19" s="210" t="e">
        <f>#REF!+#REF!+H19</f>
        <v>#REF!</v>
      </c>
      <c r="M19" s="210"/>
      <c r="N19" s="208" t="e">
        <f>[1]Datos!K$64*L19%*22.5%</f>
        <v>#REF!</v>
      </c>
      <c r="O19" s="209"/>
      <c r="P19" s="148"/>
      <c r="Q19" s="167"/>
      <c r="R19" s="124"/>
      <c r="S19" s="124"/>
      <c r="T19" s="167"/>
      <c r="U19" s="168"/>
      <c r="V19" s="169"/>
      <c r="W19" s="170"/>
      <c r="X19" s="159"/>
      <c r="Y19" s="159"/>
    </row>
    <row r="20" spans="2:25" ht="22.5" customHeight="1" x14ac:dyDescent="0.25">
      <c r="B20" s="154" t="s">
        <v>64</v>
      </c>
      <c r="C20" s="519">
        <f>FGP!E20</f>
        <v>2.0950002116760511</v>
      </c>
      <c r="D20" s="464">
        <f t="shared" si="0"/>
        <v>102948.31040176116</v>
      </c>
      <c r="E20" s="501">
        <f>FGP!K20</f>
        <v>6.3258973764028958</v>
      </c>
      <c r="F20" s="464">
        <f t="shared" si="1"/>
        <v>155427.29853821915</v>
      </c>
      <c r="G20" s="501">
        <f>FGP!Q20</f>
        <v>4.4781574909036959</v>
      </c>
      <c r="H20" s="501">
        <f t="shared" si="3"/>
        <v>0.44781574909036959</v>
      </c>
      <c r="I20" s="464">
        <f t="shared" si="4"/>
        <v>36676.109850501271</v>
      </c>
      <c r="J20" s="502">
        <f t="shared" si="2"/>
        <v>295051.71879048162</v>
      </c>
      <c r="K20" s="166"/>
      <c r="L20" s="210" t="e">
        <f>#REF!+#REF!+H20</f>
        <v>#REF!</v>
      </c>
      <c r="M20" s="210"/>
      <c r="N20" s="208" t="e">
        <f>[1]Datos!K$64*L20%*22.5%</f>
        <v>#REF!</v>
      </c>
      <c r="O20" s="209"/>
      <c r="P20" s="148"/>
      <c r="Q20" s="167"/>
      <c r="R20" s="124"/>
      <c r="S20" s="124"/>
      <c r="T20" s="167"/>
      <c r="U20" s="168"/>
      <c r="V20" s="169"/>
      <c r="W20" s="170"/>
      <c r="X20" s="159"/>
      <c r="Y20" s="159"/>
    </row>
    <row r="21" spans="2:25" ht="22.5" customHeight="1" x14ac:dyDescent="0.25">
      <c r="B21" s="154" t="s">
        <v>65</v>
      </c>
      <c r="C21" s="519">
        <f>FGP!E21</f>
        <v>3.7237204182718768</v>
      </c>
      <c r="D21" s="464">
        <f t="shared" si="0"/>
        <v>182983.62135388001</v>
      </c>
      <c r="E21" s="501">
        <f>FGP!K21</f>
        <v>6.745007877979198</v>
      </c>
      <c r="F21" s="464">
        <f t="shared" si="1"/>
        <v>165724.84356194889</v>
      </c>
      <c r="G21" s="501">
        <f>FGP!Q21</f>
        <v>3.31809171572782</v>
      </c>
      <c r="H21" s="501">
        <f t="shared" si="3"/>
        <v>0.331809171572782</v>
      </c>
      <c r="I21" s="464">
        <f t="shared" si="4"/>
        <v>27175.171151810846</v>
      </c>
      <c r="J21" s="502">
        <f t="shared" si="2"/>
        <v>375883.63606763975</v>
      </c>
      <c r="K21" s="166"/>
      <c r="L21" s="210" t="e">
        <f>#REF!+#REF!+H21</f>
        <v>#REF!</v>
      </c>
      <c r="M21" s="210"/>
      <c r="N21" s="208" t="e">
        <f>[1]Datos!K$64*L21%*22.5%</f>
        <v>#REF!</v>
      </c>
      <c r="O21" s="209"/>
      <c r="P21" s="148"/>
      <c r="Q21" s="167"/>
      <c r="R21" s="124"/>
      <c r="S21" s="124"/>
      <c r="T21" s="167"/>
      <c r="U21" s="168"/>
      <c r="V21" s="169"/>
      <c r="W21" s="170"/>
      <c r="X21" s="159"/>
      <c r="Y21" s="159"/>
    </row>
    <row r="22" spans="2:25" ht="22.5" customHeight="1" x14ac:dyDescent="0.25">
      <c r="B22" s="154" t="s">
        <v>66</v>
      </c>
      <c r="C22" s="519">
        <f>FGP!E22</f>
        <v>0.63494348249439059</v>
      </c>
      <c r="D22" s="464">
        <f t="shared" si="0"/>
        <v>31201.122729774354</v>
      </c>
      <c r="E22" s="501">
        <f>FGP!K22</f>
        <v>6.9221641260595543</v>
      </c>
      <c r="F22" s="464">
        <f t="shared" si="1"/>
        <v>170077.57257728322</v>
      </c>
      <c r="G22" s="501">
        <f>FGP!Q22</f>
        <v>5.7484805675844752</v>
      </c>
      <c r="H22" s="501">
        <f t="shared" si="3"/>
        <v>0.57484805675844752</v>
      </c>
      <c r="I22" s="464">
        <f t="shared" si="4"/>
        <v>47080.055848516851</v>
      </c>
      <c r="J22" s="502">
        <f t="shared" si="2"/>
        <v>248358.75115557443</v>
      </c>
      <c r="K22" s="166"/>
      <c r="L22" s="210" t="e">
        <f>#REF!+#REF!+H22</f>
        <v>#REF!</v>
      </c>
      <c r="M22" s="210"/>
      <c r="N22" s="208" t="e">
        <f>[1]Datos!K$64*L22%*22.5%</f>
        <v>#REF!</v>
      </c>
      <c r="O22" s="209"/>
      <c r="P22" s="148"/>
      <c r="Q22" s="167"/>
      <c r="R22" s="124"/>
      <c r="S22" s="124"/>
      <c r="T22" s="167"/>
      <c r="U22" s="168"/>
      <c r="V22" s="169"/>
      <c r="W22" s="170"/>
      <c r="X22" s="159"/>
      <c r="Y22" s="159"/>
    </row>
    <row r="23" spans="2:25" ht="22.5" customHeight="1" x14ac:dyDescent="0.25">
      <c r="B23" s="154" t="s">
        <v>67</v>
      </c>
      <c r="C23" s="519">
        <f>FGP!E23</f>
        <v>1.9878074594640365</v>
      </c>
      <c r="D23" s="464">
        <f t="shared" si="0"/>
        <v>97680.85855806274</v>
      </c>
      <c r="E23" s="501">
        <f>FGP!K23</f>
        <v>4.6493297813419261</v>
      </c>
      <c r="F23" s="464">
        <f t="shared" si="1"/>
        <v>114234.03272757113</v>
      </c>
      <c r="G23" s="501">
        <f>FGP!Q23</f>
        <v>5.4599592393996872</v>
      </c>
      <c r="H23" s="501">
        <f t="shared" si="3"/>
        <v>0.54599592393996876</v>
      </c>
      <c r="I23" s="464">
        <f t="shared" si="4"/>
        <v>44717.066170683436</v>
      </c>
      <c r="J23" s="502">
        <f t="shared" si="2"/>
        <v>256631.95745631732</v>
      </c>
      <c r="K23" s="166"/>
      <c r="L23" s="210" t="e">
        <f>#REF!+#REF!+H23</f>
        <v>#REF!</v>
      </c>
      <c r="M23" s="210"/>
      <c r="N23" s="208" t="e">
        <f>[1]Datos!K$64*L23%*22.5%</f>
        <v>#REF!</v>
      </c>
      <c r="O23" s="209"/>
      <c r="P23" s="148"/>
      <c r="Q23" s="167"/>
      <c r="R23" s="124"/>
      <c r="S23" s="124"/>
      <c r="T23" s="167"/>
      <c r="U23" s="168"/>
      <c r="V23" s="169"/>
      <c r="W23" s="170"/>
      <c r="X23" s="159"/>
      <c r="Y23" s="159"/>
    </row>
    <row r="24" spans="2:25" ht="22.5" customHeight="1" x14ac:dyDescent="0.25">
      <c r="B24" s="154" t="s">
        <v>68</v>
      </c>
      <c r="C24" s="519">
        <f>FGP!E24</f>
        <v>8.2824605224164927</v>
      </c>
      <c r="D24" s="464">
        <f t="shared" si="0"/>
        <v>407000.11007154646</v>
      </c>
      <c r="E24" s="501">
        <f>FGP!K24</f>
        <v>4.4890715578863984</v>
      </c>
      <c r="F24" s="464">
        <f t="shared" si="1"/>
        <v>110296.48817726881</v>
      </c>
      <c r="G24" s="501">
        <f>FGP!Q24</f>
        <v>2.2367181082541108</v>
      </c>
      <c r="H24" s="501">
        <f t="shared" si="3"/>
        <v>0.2236718108254111</v>
      </c>
      <c r="I24" s="464">
        <f t="shared" si="4"/>
        <v>18318.721306601168</v>
      </c>
      <c r="J24" s="502">
        <f t="shared" si="2"/>
        <v>535615.31955541647</v>
      </c>
      <c r="K24" s="166"/>
      <c r="L24" s="210" t="e">
        <f>#REF!+#REF!+H24</f>
        <v>#REF!</v>
      </c>
      <c r="M24" s="210"/>
      <c r="N24" s="208" t="e">
        <f>[1]Datos!K$64*L24%*22.5%</f>
        <v>#REF!</v>
      </c>
      <c r="O24" s="209"/>
      <c r="P24" s="148"/>
      <c r="Q24" s="167"/>
      <c r="R24" s="124"/>
      <c r="S24" s="124"/>
      <c r="T24" s="167"/>
      <c r="U24" s="168"/>
      <c r="V24" s="169"/>
      <c r="W24" s="170"/>
      <c r="X24" s="159"/>
      <c r="Y24" s="159"/>
    </row>
    <row r="25" spans="2:25" ht="22.5" customHeight="1" x14ac:dyDescent="0.25">
      <c r="B25" s="154" t="s">
        <v>69</v>
      </c>
      <c r="C25" s="519">
        <f>FGP!E25</f>
        <v>3.3629397569958934</v>
      </c>
      <c r="D25" s="464">
        <f t="shared" si="0"/>
        <v>165254.85965877821</v>
      </c>
      <c r="E25" s="501">
        <f>FGP!K25</f>
        <v>1.6883569240188554</v>
      </c>
      <c r="F25" s="464">
        <f t="shared" si="1"/>
        <v>41482.929623143275</v>
      </c>
      <c r="G25" s="501">
        <f>FGP!Q25</f>
        <v>5.5966868595249943</v>
      </c>
      <c r="H25" s="501">
        <f t="shared" si="3"/>
        <v>0.55966868595249941</v>
      </c>
      <c r="I25" s="464">
        <f t="shared" si="4"/>
        <v>45836.865379509705</v>
      </c>
      <c r="J25" s="502">
        <f t="shared" si="2"/>
        <v>252574.65466143121</v>
      </c>
      <c r="K25" s="166"/>
      <c r="L25" s="210" t="e">
        <f>#REF!+#REF!+H25</f>
        <v>#REF!</v>
      </c>
      <c r="M25" s="210"/>
      <c r="N25" s="208" t="e">
        <f>[1]Datos!K$64*L25%*22.5%</f>
        <v>#REF!</v>
      </c>
      <c r="O25" s="209"/>
      <c r="P25" s="148"/>
      <c r="Q25" s="167"/>
      <c r="R25" s="124"/>
      <c r="S25" s="124"/>
      <c r="T25" s="167"/>
      <c r="U25" s="168"/>
      <c r="V25" s="169"/>
      <c r="W25" s="170"/>
      <c r="X25" s="159"/>
      <c r="Y25" s="159"/>
    </row>
    <row r="26" spans="2:25" ht="22.5" customHeight="1" x14ac:dyDescent="0.25">
      <c r="B26" s="154" t="s">
        <v>70</v>
      </c>
      <c r="C26" s="519">
        <f>FGP!E26</f>
        <v>35.020363236103471</v>
      </c>
      <c r="D26" s="464">
        <f t="shared" si="0"/>
        <v>1720900.6494221247</v>
      </c>
      <c r="E26" s="501">
        <f>FGP!K26</f>
        <v>7.7759124214141311</v>
      </c>
      <c r="F26" s="464">
        <f t="shared" si="1"/>
        <v>191054.1681941452</v>
      </c>
      <c r="G26" s="501">
        <f>FGP!Q26</f>
        <v>0.60516423190581725</v>
      </c>
      <c r="H26" s="501">
        <f t="shared" si="3"/>
        <v>6.0516423190581731E-2</v>
      </c>
      <c r="I26" s="464">
        <f t="shared" si="4"/>
        <v>4956.2950593086434</v>
      </c>
      <c r="J26" s="502">
        <f t="shared" si="2"/>
        <v>1916911.1126755786</v>
      </c>
      <c r="K26" s="166"/>
      <c r="L26" s="210" t="e">
        <f>#REF!+#REF!+H26</f>
        <v>#REF!</v>
      </c>
      <c r="M26" s="210"/>
      <c r="N26" s="208" t="e">
        <f>[1]Datos!K$64*L26%*22.5%</f>
        <v>#REF!</v>
      </c>
      <c r="O26" s="209"/>
      <c r="P26" s="148"/>
      <c r="Q26" s="167"/>
      <c r="R26" s="124"/>
      <c r="S26" s="124"/>
      <c r="T26" s="167"/>
      <c r="U26" s="168"/>
      <c r="V26" s="169"/>
      <c r="W26" s="170"/>
      <c r="X26" s="159"/>
      <c r="Y26" s="159"/>
    </row>
    <row r="27" spans="2:25" ht="22.5" customHeight="1" x14ac:dyDescent="0.25">
      <c r="B27" s="154" t="s">
        <v>71</v>
      </c>
      <c r="C27" s="519">
        <f>FGP!E27</f>
        <v>2.5879513991786967</v>
      </c>
      <c r="D27" s="464">
        <f t="shared" si="0"/>
        <v>127171.93175564116</v>
      </c>
      <c r="E27" s="501">
        <f>FGP!K27</f>
        <v>4.8707157425733385</v>
      </c>
      <c r="F27" s="464">
        <f t="shared" si="1"/>
        <v>119673.48579502692</v>
      </c>
      <c r="G27" s="501">
        <f>FGP!Q27</f>
        <v>4.6873329880789818</v>
      </c>
      <c r="H27" s="501">
        <f t="shared" si="3"/>
        <v>0.46873329880789821</v>
      </c>
      <c r="I27" s="464">
        <f t="shared" si="4"/>
        <v>38389.257172366859</v>
      </c>
      <c r="J27" s="502">
        <f t="shared" si="2"/>
        <v>285234.6747230349</v>
      </c>
      <c r="K27" s="166"/>
      <c r="L27" s="210" t="e">
        <f>#REF!+#REF!+H27</f>
        <v>#REF!</v>
      </c>
      <c r="M27" s="210"/>
      <c r="N27" s="208" t="e">
        <f>[1]Datos!K$64*L27%*22.5%</f>
        <v>#REF!</v>
      </c>
      <c r="O27" s="209"/>
      <c r="P27" s="148"/>
      <c r="Q27" s="167"/>
      <c r="R27" s="124"/>
      <c r="S27" s="124"/>
      <c r="T27" s="167"/>
      <c r="U27" s="168"/>
      <c r="V27" s="169"/>
      <c r="W27" s="170"/>
      <c r="X27" s="159"/>
      <c r="Y27" s="159"/>
    </row>
    <row r="28" spans="2:25" ht="22.5" customHeight="1" thickBot="1" x14ac:dyDescent="0.3">
      <c r="B28" s="154" t="s">
        <v>72</v>
      </c>
      <c r="C28" s="519">
        <f>FGP!E28</f>
        <v>4.8616061978747727</v>
      </c>
      <c r="D28" s="464">
        <f t="shared" si="0"/>
        <v>238899.32856356632</v>
      </c>
      <c r="E28" s="501">
        <f>FGP!K28</f>
        <v>3.821367857828343</v>
      </c>
      <c r="F28" s="464">
        <f t="shared" si="1"/>
        <v>93891.008266842386</v>
      </c>
      <c r="G28" s="501">
        <f>FGP!Q28</f>
        <v>3.4768036826472288</v>
      </c>
      <c r="H28" s="501">
        <f t="shared" si="3"/>
        <v>0.34768036826472293</v>
      </c>
      <c r="I28" s="464">
        <f t="shared" si="4"/>
        <v>28475.022160880802</v>
      </c>
      <c r="J28" s="502">
        <f t="shared" si="2"/>
        <v>361265.35899128951</v>
      </c>
      <c r="K28" s="206"/>
      <c r="L28" s="167" t="e">
        <f>#REF!+#REF!+H28</f>
        <v>#REF!</v>
      </c>
      <c r="M28" s="167"/>
      <c r="N28" s="208" t="e">
        <f>[1]Datos!K$64*L28%*22.5%</f>
        <v>#REF!</v>
      </c>
      <c r="O28" s="209"/>
      <c r="P28" s="148"/>
      <c r="Q28" s="167"/>
      <c r="R28" s="124"/>
      <c r="S28" s="124"/>
      <c r="T28" s="167"/>
      <c r="U28" s="168"/>
      <c r="V28" s="169"/>
      <c r="W28" s="170"/>
      <c r="X28" s="159"/>
      <c r="Y28" s="159"/>
    </row>
    <row r="29" spans="2:25" ht="15.75" thickBot="1" x14ac:dyDescent="0.3">
      <c r="B29" s="517" t="s">
        <v>73</v>
      </c>
      <c r="C29" s="520">
        <v>99.999999999999986</v>
      </c>
      <c r="D29" s="73">
        <f>Datos!K58*'Incentivo ISAN'!C7</f>
        <v>4914000</v>
      </c>
      <c r="E29" s="218">
        <v>100.00000000000003</v>
      </c>
      <c r="F29" s="73">
        <f>Datos!K58*'Incentivo ISAN'!E7</f>
        <v>2457000</v>
      </c>
      <c r="G29" s="218">
        <v>99.999999999999972</v>
      </c>
      <c r="H29" s="219">
        <f t="shared" si="3"/>
        <v>9.9999999999999982</v>
      </c>
      <c r="I29" s="73">
        <f>Datos!K58*'Incentivo ISAN'!G7</f>
        <v>819000</v>
      </c>
      <c r="J29" s="212">
        <f>SUM(J9:J28)</f>
        <v>8190000</v>
      </c>
      <c r="K29" s="213"/>
      <c r="L29" s="214" t="e">
        <f>#REF!+#REF!+H29</f>
        <v>#REF!</v>
      </c>
      <c r="M29" s="214"/>
      <c r="N29" s="215" t="e">
        <f>SUM(N9:N28)</f>
        <v>#REF!</v>
      </c>
      <c r="O29" s="216"/>
      <c r="P29" s="217"/>
      <c r="Q29" s="172"/>
      <c r="R29" s="171"/>
      <c r="S29" s="171"/>
      <c r="T29" s="172"/>
      <c r="U29" s="151"/>
      <c r="V29" s="169"/>
      <c r="W29" s="170"/>
      <c r="X29" s="159"/>
      <c r="Y29" s="159"/>
    </row>
    <row r="30" spans="2:25" x14ac:dyDescent="0.25">
      <c r="B30" s="736" t="s">
        <v>378</v>
      </c>
      <c r="C30" s="736"/>
      <c r="D30" s="736"/>
      <c r="E30" s="736"/>
      <c r="F30" s="736"/>
      <c r="G30" s="736"/>
      <c r="H30" s="11"/>
      <c r="I30" s="11"/>
      <c r="J30" s="11"/>
      <c r="K30" s="11"/>
      <c r="L30" s="173"/>
      <c r="M30" s="173"/>
      <c r="N30" s="157"/>
      <c r="O30" s="157"/>
      <c r="P30" s="167"/>
      <c r="Q30" s="158"/>
      <c r="R30" s="158"/>
      <c r="S30" s="159"/>
      <c r="T30" s="159"/>
      <c r="U30" s="159"/>
      <c r="V30" s="159"/>
      <c r="W30" s="159"/>
      <c r="X30" s="159"/>
      <c r="Y30" s="159"/>
    </row>
    <row r="31" spans="2:25" ht="24.75" customHeight="1" x14ac:dyDescent="0.25">
      <c r="B31" s="716" t="s">
        <v>386</v>
      </c>
      <c r="C31" s="716"/>
      <c r="D31" s="716"/>
      <c r="E31" s="716"/>
      <c r="F31" s="716"/>
      <c r="G31" s="716"/>
      <c r="H31" s="716"/>
      <c r="I31" s="716"/>
      <c r="J31" s="716"/>
      <c r="K31" s="11"/>
      <c r="L31" s="11"/>
      <c r="M31" s="11"/>
      <c r="N31" s="174"/>
      <c r="O31" s="11"/>
      <c r="P31" s="11"/>
      <c r="Q31" s="79"/>
      <c r="R31" s="79"/>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Calendario</vt:lpstr>
      <vt:lpstr>Consolidado</vt:lpstr>
      <vt:lpstr>FGP</vt:lpstr>
      <vt:lpstr>FFM</vt:lpstr>
      <vt:lpstr>IEPS TyA</vt:lpstr>
      <vt:lpstr>IEPS GyD </vt:lpstr>
      <vt:lpstr>FOFIR</vt:lpstr>
      <vt:lpstr>FOCO ISAN</vt:lpstr>
      <vt:lpstr>Incentivo ISAN</vt:lpstr>
      <vt:lpstr>Predial y Agua</vt:lpstr>
      <vt:lpstr>CENSO</vt:lpstr>
      <vt:lpstr>IEPS 2014 </vt:lpstr>
      <vt:lpstr>Datos</vt:lpstr>
      <vt:lpstr>FGP 60%</vt:lpstr>
      <vt:lpstr>FGP 30%</vt:lpstr>
      <vt:lpstr>FGP 10%</vt:lpstr>
      <vt:lpstr>Datos!Área_de_impresión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INGCOORD</cp:lastModifiedBy>
  <cp:lastPrinted>2019-02-01T18:24:23Z</cp:lastPrinted>
  <dcterms:created xsi:type="dcterms:W3CDTF">2018-01-30T21:48:08Z</dcterms:created>
  <dcterms:modified xsi:type="dcterms:W3CDTF">2019-02-08T17:26:48Z</dcterms:modified>
</cp:coreProperties>
</file>